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filterPrivacy="1" showInkAnnotation="0" defaultThemeVersion="124226"/>
  <xr:revisionPtr revIDLastSave="0" documentId="13_ncr:1_{9689A06F-1BED-4F92-8AE5-EC419C375E4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RÇAMENTO" sheetId="1" r:id="rId1"/>
    <sheet name="MEMÓRIA DE CÁLCULO" sheetId="2" r:id="rId2"/>
    <sheet name="Composição" sheetId="4" r:id="rId3"/>
  </sheets>
  <definedNames>
    <definedName name="_xlnm._FilterDatabase" localSheetId="0" hidden="1">ORÇAMENTO!$J$235:$K$235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86" i="2" l="1"/>
  <c r="B386" i="2"/>
  <c r="C386" i="2"/>
  <c r="D386" i="2"/>
  <c r="E386" i="2"/>
  <c r="F386" i="2"/>
  <c r="E169" i="1"/>
  <c r="J169" i="1" s="1"/>
  <c r="D1632" i="2"/>
  <c r="C1632" i="2"/>
  <c r="B1632" i="2"/>
  <c r="A1632" i="2"/>
  <c r="J1633" i="2"/>
  <c r="J1634" i="2" s="1"/>
  <c r="J488" i="1"/>
  <c r="A385" i="2"/>
  <c r="B385" i="2"/>
  <c r="C385" i="2"/>
  <c r="D385" i="2"/>
  <c r="E385" i="2"/>
  <c r="F385" i="2"/>
  <c r="J168" i="1"/>
  <c r="J1514" i="2"/>
  <c r="J1513" i="2"/>
  <c r="J1498" i="2"/>
  <c r="J1406" i="2"/>
  <c r="J1217" i="2"/>
  <c r="J1216" i="2"/>
  <c r="J1215" i="2"/>
  <c r="F1214" i="2"/>
  <c r="J1214" i="2" s="1"/>
  <c r="J1213" i="2"/>
  <c r="J1210" i="2"/>
  <c r="J1209" i="2"/>
  <c r="J1208" i="2"/>
  <c r="J1207" i="2"/>
  <c r="J1206" i="2"/>
  <c r="J1205" i="2"/>
  <c r="J1204" i="2"/>
  <c r="J1203" i="2"/>
  <c r="J1202" i="2"/>
  <c r="J1201" i="2"/>
  <c r="J1200" i="2"/>
  <c r="J1199" i="2"/>
  <c r="J1198" i="2"/>
  <c r="J1197" i="2"/>
  <c r="J1196" i="2"/>
  <c r="J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6" i="2"/>
  <c r="J1165" i="2"/>
  <c r="J1164" i="2"/>
  <c r="J1163" i="2"/>
  <c r="J1162" i="2"/>
  <c r="J1161" i="2"/>
  <c r="J1160" i="2"/>
  <c r="J1159" i="2"/>
  <c r="J1158" i="2"/>
  <c r="J1157" i="2"/>
  <c r="J1156" i="2"/>
  <c r="J1155" i="2"/>
  <c r="J1154" i="2"/>
  <c r="J1153" i="2"/>
  <c r="J1152" i="2"/>
  <c r="J1151" i="2"/>
  <c r="J1150" i="2"/>
  <c r="J1149" i="2"/>
  <c r="J716" i="2" l="1"/>
  <c r="J712" i="2"/>
  <c r="F668" i="2"/>
  <c r="F689" i="2" s="1"/>
  <c r="J673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1127" i="2"/>
  <c r="J1128" i="2"/>
  <c r="J1129" i="2"/>
  <c r="F1061" i="2"/>
  <c r="J106" i="2"/>
  <c r="J107" i="2"/>
  <c r="J108" i="2"/>
  <c r="F84" i="2" l="1"/>
  <c r="J61" i="2"/>
  <c r="F56" i="2"/>
  <c r="J56" i="2" s="1"/>
  <c r="D55" i="2"/>
  <c r="B55" i="2"/>
  <c r="J53" i="2"/>
  <c r="F35" i="2"/>
  <c r="D19" i="2"/>
  <c r="J57" i="2" l="1"/>
  <c r="E24" i="1" s="1"/>
  <c r="J24" i="1" s="1"/>
  <c r="F660" i="2"/>
  <c r="J660" i="2" s="1"/>
  <c r="J663" i="2"/>
  <c r="J1536" i="2"/>
  <c r="J1535" i="2"/>
  <c r="J1534" i="2"/>
  <c r="J1506" i="2"/>
  <c r="J1505" i="2"/>
  <c r="J1504" i="2"/>
  <c r="E1523" i="2"/>
  <c r="D1523" i="2"/>
  <c r="C1523" i="2"/>
  <c r="B1523" i="2"/>
  <c r="A1523" i="2"/>
  <c r="J1533" i="2"/>
  <c r="J1532" i="2"/>
  <c r="J1531" i="2"/>
  <c r="J1530" i="2"/>
  <c r="J1529" i="2"/>
  <c r="J1528" i="2"/>
  <c r="J1527" i="2"/>
  <c r="J1526" i="2"/>
  <c r="J1525" i="2"/>
  <c r="J1524" i="2"/>
  <c r="J684" i="2"/>
  <c r="J136" i="2"/>
  <c r="J141" i="2"/>
  <c r="J140" i="2"/>
  <c r="J139" i="2"/>
  <c r="J138" i="2"/>
  <c r="J137" i="2"/>
  <c r="J135" i="2"/>
  <c r="J134" i="2"/>
  <c r="J133" i="2"/>
  <c r="J132" i="2"/>
  <c r="J131" i="2"/>
  <c r="J142" i="2" l="1"/>
  <c r="J1537" i="2"/>
  <c r="E470" i="1" s="1"/>
  <c r="J470" i="1" s="1"/>
  <c r="J66" i="1"/>
  <c r="J68" i="1"/>
  <c r="J70" i="1"/>
  <c r="J71" i="1"/>
  <c r="J72" i="1"/>
  <c r="J73" i="1"/>
  <c r="J74" i="1"/>
  <c r="J75" i="1"/>
  <c r="J76" i="1"/>
  <c r="J77" i="1"/>
  <c r="J78" i="1"/>
  <c r="J79" i="1"/>
  <c r="J80" i="1"/>
  <c r="J81" i="1"/>
  <c r="J83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5" i="1"/>
  <c r="J136" i="1"/>
  <c r="J138" i="1"/>
  <c r="J139" i="1"/>
  <c r="J140" i="1"/>
  <c r="J141" i="1"/>
  <c r="J142" i="1"/>
  <c r="J148" i="1"/>
  <c r="J149" i="1"/>
  <c r="J150" i="1"/>
  <c r="J152" i="1"/>
  <c r="J153" i="1"/>
  <c r="J154" i="1"/>
  <c r="J155" i="1"/>
  <c r="J157" i="1"/>
  <c r="J158" i="1"/>
  <c r="J159" i="1"/>
  <c r="J161" i="1"/>
  <c r="J162" i="1"/>
  <c r="J163" i="1"/>
  <c r="J164" i="1"/>
  <c r="J165" i="1"/>
  <c r="J167" i="1"/>
  <c r="J171" i="1"/>
  <c r="J172" i="1"/>
  <c r="J173" i="1"/>
  <c r="J174" i="1"/>
  <c r="J175" i="1"/>
  <c r="J177" i="1"/>
  <c r="J178" i="1"/>
  <c r="J179" i="1"/>
  <c r="J180" i="1"/>
  <c r="J181" i="1"/>
  <c r="J182" i="1"/>
  <c r="J183" i="1"/>
  <c r="J184" i="1"/>
  <c r="J185" i="1"/>
  <c r="J186" i="1"/>
  <c r="J187" i="1"/>
  <c r="J194" i="1"/>
  <c r="J195" i="1"/>
  <c r="J197" i="1"/>
  <c r="J198" i="1"/>
  <c r="J200" i="1"/>
  <c r="J201" i="1"/>
  <c r="J202" i="1"/>
  <c r="J203" i="1"/>
  <c r="J206" i="1"/>
  <c r="J207" i="1"/>
  <c r="J208" i="1"/>
  <c r="J211" i="1"/>
  <c r="J212" i="1"/>
  <c r="J213" i="1"/>
  <c r="J214" i="1"/>
  <c r="J215" i="1"/>
  <c r="J217" i="1"/>
  <c r="J218" i="1"/>
  <c r="J219" i="1"/>
  <c r="J221" i="1"/>
  <c r="J222" i="1"/>
  <c r="J224" i="1"/>
  <c r="J227" i="1"/>
  <c r="J228" i="1"/>
  <c r="J229" i="1"/>
  <c r="J230" i="1"/>
  <c r="J231" i="1"/>
  <c r="J232" i="1"/>
  <c r="J233" i="1"/>
  <c r="J234" i="1"/>
  <c r="J236" i="1"/>
  <c r="J237" i="1"/>
  <c r="J239" i="1"/>
  <c r="J240" i="1"/>
  <c r="J241" i="1"/>
  <c r="J242" i="1"/>
  <c r="J245" i="1"/>
  <c r="J247" i="1"/>
  <c r="J248" i="1"/>
  <c r="J249" i="1"/>
  <c r="J250" i="1"/>
  <c r="J251" i="1"/>
  <c r="J253" i="1"/>
  <c r="J254" i="1"/>
  <c r="J255" i="1"/>
  <c r="J256" i="1"/>
  <c r="J257" i="1"/>
  <c r="J260" i="1"/>
  <c r="J262" i="1"/>
  <c r="J263" i="1"/>
  <c r="J264" i="1"/>
  <c r="J265" i="1"/>
  <c r="J271" i="1"/>
  <c r="J272" i="1"/>
  <c r="J273" i="1"/>
  <c r="J274" i="1"/>
  <c r="J276" i="1"/>
  <c r="J280" i="1"/>
  <c r="J281" i="1"/>
  <c r="J282" i="1"/>
  <c r="J284" i="1"/>
  <c r="J285" i="1"/>
  <c r="J286" i="1"/>
  <c r="J287" i="1"/>
  <c r="J288" i="1"/>
  <c r="J289" i="1"/>
  <c r="J291" i="1"/>
  <c r="J293" i="1"/>
  <c r="J294" i="1"/>
  <c r="J295" i="1"/>
  <c r="J297" i="1"/>
  <c r="J298" i="1"/>
  <c r="J299" i="1"/>
  <c r="J301" i="1"/>
  <c r="J305" i="1"/>
  <c r="J309" i="1"/>
  <c r="J315" i="1"/>
  <c r="J316" i="1"/>
  <c r="J317" i="1"/>
  <c r="J319" i="1"/>
  <c r="J320" i="1"/>
  <c r="J321" i="1"/>
  <c r="J323" i="1"/>
  <c r="J324" i="1"/>
  <c r="J325" i="1"/>
  <c r="J326" i="1"/>
  <c r="J327" i="1"/>
  <c r="J329" i="1"/>
  <c r="J330" i="1"/>
  <c r="J331" i="1"/>
  <c r="J338" i="1"/>
  <c r="J339" i="1"/>
  <c r="J343" i="1"/>
  <c r="J344" i="1"/>
  <c r="J345" i="1"/>
  <c r="J346" i="1"/>
  <c r="J355" i="1"/>
  <c r="J356" i="1"/>
  <c r="J357" i="1"/>
  <c r="J358" i="1"/>
  <c r="J359" i="1"/>
  <c r="E22" i="2" l="1"/>
  <c r="B22" i="2"/>
  <c r="C22" i="2"/>
  <c r="D22" i="2"/>
  <c r="A22" i="2"/>
  <c r="E19" i="2"/>
  <c r="B19" i="2"/>
  <c r="C19" i="2"/>
  <c r="A19" i="2"/>
  <c r="J24" i="2"/>
  <c r="E12" i="1" s="1"/>
  <c r="J12" i="1" s="1"/>
  <c r="J21" i="2"/>
  <c r="E11" i="1" s="1"/>
  <c r="J11" i="1" s="1"/>
  <c r="J360" i="1"/>
  <c r="J354" i="1"/>
  <c r="J353" i="1"/>
  <c r="J352" i="1"/>
  <c r="J351" i="1"/>
  <c r="J350" i="1"/>
  <c r="J349" i="1"/>
  <c r="J348" i="1"/>
  <c r="J347" i="1"/>
  <c r="J336" i="1"/>
  <c r="J335" i="1"/>
  <c r="K361" i="1" l="1"/>
  <c r="F1313" i="2"/>
  <c r="F1312" i="2"/>
  <c r="F1311" i="2"/>
  <c r="F1310" i="2"/>
  <c r="F1309" i="2"/>
  <c r="F1308" i="2"/>
  <c r="F1307" i="2"/>
  <c r="F1306" i="2"/>
  <c r="F1305" i="2"/>
  <c r="F1304" i="2"/>
  <c r="F1303" i="2"/>
  <c r="F1302" i="2"/>
  <c r="F1301" i="2"/>
  <c r="F1300" i="2"/>
  <c r="F1299" i="2"/>
  <c r="F1298" i="2"/>
  <c r="F1296" i="2"/>
  <c r="F1294" i="2"/>
  <c r="F1292" i="2"/>
  <c r="F1290" i="2"/>
  <c r="F1288" i="2"/>
  <c r="F1286" i="2"/>
  <c r="F1284" i="2"/>
  <c r="F1282" i="2"/>
  <c r="F1280" i="2"/>
  <c r="F1278" i="2"/>
  <c r="F1276" i="2"/>
  <c r="F1274" i="2"/>
  <c r="F1272" i="2"/>
  <c r="F1270" i="2"/>
  <c r="F1271" i="2"/>
  <c r="F1273" i="2"/>
  <c r="F1275" i="2"/>
  <c r="F1277" i="2"/>
  <c r="F1279" i="2"/>
  <c r="F1281" i="2"/>
  <c r="F1283" i="2"/>
  <c r="F1285" i="2"/>
  <c r="F1287" i="2"/>
  <c r="F1289" i="2"/>
  <c r="F1291" i="2"/>
  <c r="F1293" i="2"/>
  <c r="F1295" i="2"/>
  <c r="F1297" i="2"/>
  <c r="F1269" i="2"/>
  <c r="B528" i="2"/>
  <c r="B529" i="2"/>
  <c r="B530" i="2"/>
  <c r="B531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1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3" i="2"/>
  <c r="F354" i="2"/>
  <c r="F356" i="2"/>
  <c r="F357" i="2"/>
  <c r="F358" i="2"/>
  <c r="F359" i="2"/>
  <c r="F360" i="2"/>
  <c r="F286" i="2"/>
  <c r="F198" i="2"/>
  <c r="F197" i="2"/>
  <c r="F196" i="2"/>
  <c r="F195" i="2"/>
  <c r="B572" i="2"/>
  <c r="C572" i="2"/>
  <c r="B573" i="2"/>
  <c r="C573" i="2"/>
  <c r="B574" i="2"/>
  <c r="C574" i="2"/>
  <c r="B575" i="2"/>
  <c r="C575" i="2"/>
  <c r="C571" i="2"/>
  <c r="C560" i="2"/>
  <c r="C561" i="2"/>
  <c r="C562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60" i="2"/>
  <c r="B562" i="2"/>
  <c r="B563" i="2"/>
  <c r="B564" i="2"/>
  <c r="B565" i="2"/>
  <c r="B566" i="2"/>
  <c r="B567" i="2"/>
  <c r="B568" i="2"/>
  <c r="B569" i="2"/>
  <c r="B570" i="2"/>
  <c r="B571" i="2"/>
  <c r="B576" i="2"/>
  <c r="B560" i="2"/>
  <c r="B523" i="2"/>
  <c r="B524" i="2"/>
  <c r="B525" i="2"/>
  <c r="B535" i="2"/>
  <c r="B539" i="2"/>
  <c r="B554" i="2"/>
  <c r="B553" i="2"/>
  <c r="B552" i="2"/>
  <c r="B551" i="2"/>
  <c r="B550" i="2"/>
  <c r="F366" i="2"/>
  <c r="F367" i="2"/>
  <c r="F369" i="2"/>
  <c r="F370" i="2"/>
  <c r="F371" i="2"/>
  <c r="F372" i="2"/>
  <c r="F374" i="2"/>
  <c r="F375" i="2"/>
  <c r="F376" i="2"/>
  <c r="F378" i="2"/>
  <c r="F379" i="2"/>
  <c r="F380" i="2"/>
  <c r="F381" i="2"/>
  <c r="F382" i="2"/>
  <c r="F384" i="2"/>
  <c r="F388" i="2"/>
  <c r="F389" i="2"/>
  <c r="F390" i="2"/>
  <c r="F391" i="2"/>
  <c r="F392" i="2"/>
  <c r="F394" i="2"/>
  <c r="F395" i="2"/>
  <c r="F396" i="2"/>
  <c r="F397" i="2"/>
  <c r="F398" i="2"/>
  <c r="F399" i="2"/>
  <c r="F400" i="2"/>
  <c r="F401" i="2"/>
  <c r="F402" i="2"/>
  <c r="F403" i="2"/>
  <c r="F404" i="2"/>
  <c r="F411" i="2"/>
  <c r="F412" i="2"/>
  <c r="F414" i="2"/>
  <c r="F415" i="2"/>
  <c r="F417" i="2"/>
  <c r="F418" i="2"/>
  <c r="F419" i="2"/>
  <c r="F420" i="2"/>
  <c r="F423" i="2"/>
  <c r="F424" i="2"/>
  <c r="F425" i="2"/>
  <c r="F428" i="2"/>
  <c r="F429" i="2"/>
  <c r="F430" i="2"/>
  <c r="F431" i="2"/>
  <c r="F432" i="2"/>
  <c r="F434" i="2"/>
  <c r="F435" i="2"/>
  <c r="F436" i="2"/>
  <c r="F438" i="2"/>
  <c r="F439" i="2"/>
  <c r="F441" i="2"/>
  <c r="F444" i="2"/>
  <c r="F445" i="2"/>
  <c r="F446" i="2"/>
  <c r="F447" i="2"/>
  <c r="F448" i="2"/>
  <c r="F449" i="2"/>
  <c r="F450" i="2"/>
  <c r="F451" i="2"/>
  <c r="F453" i="2"/>
  <c r="F454" i="2"/>
  <c r="F456" i="2"/>
  <c r="F457" i="2"/>
  <c r="F458" i="2"/>
  <c r="F459" i="2"/>
  <c r="F462" i="2"/>
  <c r="F464" i="2"/>
  <c r="F465" i="2"/>
  <c r="F466" i="2"/>
  <c r="F467" i="2"/>
  <c r="F468" i="2"/>
  <c r="F470" i="2"/>
  <c r="F471" i="2"/>
  <c r="F472" i="2"/>
  <c r="F473" i="2"/>
  <c r="F474" i="2"/>
  <c r="F477" i="2"/>
  <c r="F479" i="2"/>
  <c r="F480" i="2"/>
  <c r="F481" i="2"/>
  <c r="F482" i="2"/>
  <c r="F488" i="2"/>
  <c r="F489" i="2"/>
  <c r="F490" i="2"/>
  <c r="F491" i="2"/>
  <c r="F493" i="2"/>
  <c r="F497" i="2"/>
  <c r="F498" i="2"/>
  <c r="F499" i="2"/>
  <c r="F501" i="2"/>
  <c r="F502" i="2"/>
  <c r="F503" i="2"/>
  <c r="F504" i="2"/>
  <c r="F505" i="2"/>
  <c r="F506" i="2"/>
  <c r="F508" i="2"/>
  <c r="F510" i="2"/>
  <c r="F511" i="2"/>
  <c r="F512" i="2"/>
  <c r="F514" i="2"/>
  <c r="F515" i="2"/>
  <c r="F516" i="2"/>
  <c r="F518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6" i="2"/>
  <c r="F547" i="2"/>
  <c r="F548" i="2"/>
  <c r="F549" i="2"/>
  <c r="F550" i="2"/>
  <c r="F551" i="2"/>
  <c r="F552" i="2"/>
  <c r="F553" i="2"/>
  <c r="F554" i="2"/>
  <c r="F555" i="2"/>
  <c r="F556" i="2"/>
  <c r="E366" i="2"/>
  <c r="E367" i="2"/>
  <c r="E369" i="2"/>
  <c r="E370" i="2"/>
  <c r="E371" i="2"/>
  <c r="E372" i="2"/>
  <c r="E374" i="2"/>
  <c r="E375" i="2"/>
  <c r="E376" i="2"/>
  <c r="E378" i="2"/>
  <c r="E379" i="2"/>
  <c r="E380" i="2"/>
  <c r="E381" i="2"/>
  <c r="E382" i="2"/>
  <c r="E384" i="2"/>
  <c r="E388" i="2"/>
  <c r="E389" i="2"/>
  <c r="E390" i="2"/>
  <c r="E391" i="2"/>
  <c r="E392" i="2"/>
  <c r="E394" i="2"/>
  <c r="E395" i="2"/>
  <c r="E396" i="2"/>
  <c r="E397" i="2"/>
  <c r="E398" i="2"/>
  <c r="E399" i="2"/>
  <c r="E400" i="2"/>
  <c r="E401" i="2"/>
  <c r="E402" i="2"/>
  <c r="E403" i="2"/>
  <c r="E404" i="2"/>
  <c r="E407" i="2"/>
  <c r="E408" i="2"/>
  <c r="E409" i="2"/>
  <c r="E410" i="2"/>
  <c r="E411" i="2"/>
  <c r="E412" i="2"/>
  <c r="E414" i="2"/>
  <c r="E415" i="2"/>
  <c r="E416" i="2"/>
  <c r="E417" i="2"/>
  <c r="E418" i="2"/>
  <c r="E419" i="2"/>
  <c r="E420" i="2"/>
  <c r="E422" i="2"/>
  <c r="E423" i="2"/>
  <c r="E424" i="2"/>
  <c r="E425" i="2"/>
  <c r="E427" i="2"/>
  <c r="E428" i="2"/>
  <c r="E429" i="2"/>
  <c r="E430" i="2"/>
  <c r="E431" i="2"/>
  <c r="E432" i="2"/>
  <c r="E434" i="2"/>
  <c r="E435" i="2"/>
  <c r="E436" i="2"/>
  <c r="E437" i="2"/>
  <c r="E438" i="2"/>
  <c r="E439" i="2"/>
  <c r="E440" i="2"/>
  <c r="E441" i="2"/>
  <c r="E443" i="2"/>
  <c r="E444" i="2"/>
  <c r="E445" i="2"/>
  <c r="E446" i="2"/>
  <c r="E447" i="2"/>
  <c r="E448" i="2"/>
  <c r="E449" i="2"/>
  <c r="E450" i="2"/>
  <c r="E451" i="2"/>
  <c r="E453" i="2"/>
  <c r="E454" i="2"/>
  <c r="E456" i="2"/>
  <c r="E457" i="2"/>
  <c r="E458" i="2"/>
  <c r="E459" i="2"/>
  <c r="E462" i="2"/>
  <c r="E464" i="2"/>
  <c r="E465" i="2"/>
  <c r="E466" i="2"/>
  <c r="E467" i="2"/>
  <c r="E468" i="2"/>
  <c r="E470" i="2"/>
  <c r="E471" i="2"/>
  <c r="E472" i="2"/>
  <c r="E473" i="2"/>
  <c r="E474" i="2"/>
  <c r="E475" i="2"/>
  <c r="E476" i="2"/>
  <c r="E477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3" i="2"/>
  <c r="E494" i="2"/>
  <c r="E495" i="2"/>
  <c r="E496" i="2"/>
  <c r="E497" i="2"/>
  <c r="E498" i="2"/>
  <c r="E499" i="2"/>
  <c r="E501" i="2"/>
  <c r="E502" i="2"/>
  <c r="E503" i="2"/>
  <c r="E504" i="2"/>
  <c r="E505" i="2"/>
  <c r="E506" i="2"/>
  <c r="E508" i="2"/>
  <c r="E510" i="2"/>
  <c r="E511" i="2"/>
  <c r="E512" i="2"/>
  <c r="E514" i="2"/>
  <c r="E515" i="2"/>
  <c r="E516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A553" i="2"/>
  <c r="D553" i="2"/>
  <c r="A554" i="2"/>
  <c r="D554" i="2"/>
  <c r="A555" i="2"/>
  <c r="B555" i="2"/>
  <c r="C555" i="2"/>
  <c r="D555" i="2"/>
  <c r="A556" i="2"/>
  <c r="B556" i="2"/>
  <c r="C556" i="2"/>
  <c r="D556" i="2"/>
  <c r="A364" i="2"/>
  <c r="B364" i="2"/>
  <c r="C364" i="2"/>
  <c r="D364" i="2"/>
  <c r="A365" i="2"/>
  <c r="B365" i="2"/>
  <c r="C365" i="2"/>
  <c r="D365" i="2"/>
  <c r="A366" i="2"/>
  <c r="B366" i="2"/>
  <c r="C366" i="2"/>
  <c r="D366" i="2"/>
  <c r="A367" i="2"/>
  <c r="B367" i="2"/>
  <c r="C367" i="2"/>
  <c r="D367" i="2"/>
  <c r="A368" i="2"/>
  <c r="B368" i="2"/>
  <c r="C368" i="2"/>
  <c r="D368" i="2"/>
  <c r="A369" i="2"/>
  <c r="B369" i="2"/>
  <c r="C369" i="2"/>
  <c r="D369" i="2"/>
  <c r="A370" i="2"/>
  <c r="B370" i="2"/>
  <c r="C370" i="2"/>
  <c r="D370" i="2"/>
  <c r="A371" i="2"/>
  <c r="B371" i="2"/>
  <c r="C371" i="2"/>
  <c r="D371" i="2"/>
  <c r="A372" i="2"/>
  <c r="B372" i="2"/>
  <c r="C372" i="2"/>
  <c r="D372" i="2"/>
  <c r="A373" i="2"/>
  <c r="B373" i="2"/>
  <c r="C373" i="2"/>
  <c r="D373" i="2"/>
  <c r="A374" i="2"/>
  <c r="B374" i="2"/>
  <c r="C374" i="2"/>
  <c r="D374" i="2"/>
  <c r="A375" i="2"/>
  <c r="B375" i="2"/>
  <c r="C375" i="2"/>
  <c r="D375" i="2"/>
  <c r="A376" i="2"/>
  <c r="B376" i="2"/>
  <c r="C376" i="2"/>
  <c r="D376" i="2"/>
  <c r="A377" i="2"/>
  <c r="B377" i="2"/>
  <c r="C377" i="2"/>
  <c r="D377" i="2"/>
  <c r="A378" i="2"/>
  <c r="B378" i="2"/>
  <c r="C378" i="2"/>
  <c r="D378" i="2"/>
  <c r="A379" i="2"/>
  <c r="B379" i="2"/>
  <c r="C379" i="2"/>
  <c r="D379" i="2"/>
  <c r="A380" i="2"/>
  <c r="B380" i="2"/>
  <c r="C380" i="2"/>
  <c r="D380" i="2"/>
  <c r="A381" i="2"/>
  <c r="B381" i="2"/>
  <c r="C381" i="2"/>
  <c r="D381" i="2"/>
  <c r="A382" i="2"/>
  <c r="B382" i="2"/>
  <c r="C382" i="2"/>
  <c r="D382" i="2"/>
  <c r="A383" i="2"/>
  <c r="B383" i="2"/>
  <c r="C383" i="2"/>
  <c r="D383" i="2"/>
  <c r="A384" i="2"/>
  <c r="B384" i="2"/>
  <c r="C384" i="2"/>
  <c r="D384" i="2"/>
  <c r="A387" i="2"/>
  <c r="B387" i="2"/>
  <c r="C387" i="2"/>
  <c r="D387" i="2"/>
  <c r="A388" i="2"/>
  <c r="B388" i="2"/>
  <c r="C388" i="2"/>
  <c r="D388" i="2"/>
  <c r="A389" i="2"/>
  <c r="B389" i="2"/>
  <c r="C389" i="2"/>
  <c r="D389" i="2"/>
  <c r="A390" i="2"/>
  <c r="B390" i="2"/>
  <c r="C390" i="2"/>
  <c r="D390" i="2"/>
  <c r="A391" i="2"/>
  <c r="B391" i="2"/>
  <c r="C391" i="2"/>
  <c r="D391" i="2"/>
  <c r="A392" i="2"/>
  <c r="B392" i="2"/>
  <c r="C392" i="2"/>
  <c r="D392" i="2"/>
  <c r="A393" i="2"/>
  <c r="B393" i="2"/>
  <c r="C393" i="2"/>
  <c r="D393" i="2"/>
  <c r="A394" i="2"/>
  <c r="B394" i="2"/>
  <c r="C394" i="2"/>
  <c r="D394" i="2"/>
  <c r="A395" i="2"/>
  <c r="B395" i="2"/>
  <c r="C395" i="2"/>
  <c r="D395" i="2"/>
  <c r="A396" i="2"/>
  <c r="B396" i="2"/>
  <c r="C396" i="2"/>
  <c r="D396" i="2"/>
  <c r="A397" i="2"/>
  <c r="B397" i="2"/>
  <c r="C397" i="2"/>
  <c r="D397" i="2"/>
  <c r="A398" i="2"/>
  <c r="B398" i="2"/>
  <c r="C398" i="2"/>
  <c r="D398" i="2"/>
  <c r="A399" i="2"/>
  <c r="B399" i="2"/>
  <c r="C399" i="2"/>
  <c r="D399" i="2"/>
  <c r="A400" i="2"/>
  <c r="B400" i="2"/>
  <c r="C400" i="2"/>
  <c r="D400" i="2"/>
  <c r="A401" i="2"/>
  <c r="B401" i="2"/>
  <c r="C401" i="2"/>
  <c r="D401" i="2"/>
  <c r="A402" i="2"/>
  <c r="B402" i="2"/>
  <c r="C402" i="2"/>
  <c r="D402" i="2"/>
  <c r="A403" i="2"/>
  <c r="B403" i="2"/>
  <c r="C403" i="2"/>
  <c r="D403" i="2"/>
  <c r="A404" i="2"/>
  <c r="B404" i="2"/>
  <c r="C404" i="2"/>
  <c r="D404" i="2"/>
  <c r="A405" i="2"/>
  <c r="B405" i="2"/>
  <c r="C405" i="2"/>
  <c r="D405" i="2"/>
  <c r="A406" i="2"/>
  <c r="B406" i="2"/>
  <c r="C406" i="2"/>
  <c r="D406" i="2"/>
  <c r="A407" i="2"/>
  <c r="B407" i="2"/>
  <c r="C407" i="2"/>
  <c r="D407" i="2"/>
  <c r="A408" i="2"/>
  <c r="B408" i="2"/>
  <c r="C408" i="2"/>
  <c r="D408" i="2"/>
  <c r="A409" i="2"/>
  <c r="B409" i="2"/>
  <c r="C409" i="2"/>
  <c r="D409" i="2"/>
  <c r="A410" i="2"/>
  <c r="B410" i="2"/>
  <c r="C410" i="2"/>
  <c r="D410" i="2"/>
  <c r="A411" i="2"/>
  <c r="B411" i="2"/>
  <c r="C411" i="2"/>
  <c r="D411" i="2"/>
  <c r="A412" i="2"/>
  <c r="B412" i="2"/>
  <c r="C412" i="2"/>
  <c r="D412" i="2"/>
  <c r="A413" i="2"/>
  <c r="B413" i="2"/>
  <c r="C413" i="2"/>
  <c r="D413" i="2"/>
  <c r="A414" i="2"/>
  <c r="B414" i="2"/>
  <c r="C414" i="2"/>
  <c r="D414" i="2"/>
  <c r="A415" i="2"/>
  <c r="B415" i="2"/>
  <c r="C415" i="2"/>
  <c r="D415" i="2"/>
  <c r="A416" i="2"/>
  <c r="B416" i="2"/>
  <c r="C416" i="2"/>
  <c r="D416" i="2"/>
  <c r="A417" i="2"/>
  <c r="B417" i="2"/>
  <c r="C417" i="2"/>
  <c r="D417" i="2"/>
  <c r="A418" i="2"/>
  <c r="B418" i="2"/>
  <c r="C418" i="2"/>
  <c r="D418" i="2"/>
  <c r="A419" i="2"/>
  <c r="B419" i="2"/>
  <c r="C419" i="2"/>
  <c r="D419" i="2"/>
  <c r="A420" i="2"/>
  <c r="B420" i="2"/>
  <c r="C420" i="2"/>
  <c r="D420" i="2"/>
  <c r="A421" i="2"/>
  <c r="B421" i="2"/>
  <c r="C421" i="2"/>
  <c r="D421" i="2"/>
  <c r="A422" i="2"/>
  <c r="B422" i="2"/>
  <c r="C422" i="2"/>
  <c r="D422" i="2"/>
  <c r="A423" i="2"/>
  <c r="B423" i="2"/>
  <c r="C423" i="2"/>
  <c r="D423" i="2"/>
  <c r="A424" i="2"/>
  <c r="B424" i="2"/>
  <c r="C424" i="2"/>
  <c r="D424" i="2"/>
  <c r="A425" i="2"/>
  <c r="B425" i="2"/>
  <c r="C425" i="2"/>
  <c r="D425" i="2"/>
  <c r="A426" i="2"/>
  <c r="B426" i="2"/>
  <c r="C426" i="2"/>
  <c r="D426" i="2"/>
  <c r="A427" i="2"/>
  <c r="B427" i="2"/>
  <c r="C427" i="2"/>
  <c r="D427" i="2"/>
  <c r="A428" i="2"/>
  <c r="B428" i="2"/>
  <c r="C428" i="2"/>
  <c r="D428" i="2"/>
  <c r="A429" i="2"/>
  <c r="B429" i="2"/>
  <c r="C429" i="2"/>
  <c r="D429" i="2"/>
  <c r="A430" i="2"/>
  <c r="B430" i="2"/>
  <c r="C430" i="2"/>
  <c r="D430" i="2"/>
  <c r="A431" i="2"/>
  <c r="B431" i="2"/>
  <c r="C431" i="2"/>
  <c r="D431" i="2"/>
  <c r="A432" i="2"/>
  <c r="B432" i="2"/>
  <c r="C432" i="2"/>
  <c r="D432" i="2"/>
  <c r="A433" i="2"/>
  <c r="B433" i="2"/>
  <c r="C433" i="2"/>
  <c r="D433" i="2"/>
  <c r="A434" i="2"/>
  <c r="B434" i="2"/>
  <c r="C434" i="2"/>
  <c r="D434" i="2"/>
  <c r="A435" i="2"/>
  <c r="B435" i="2"/>
  <c r="C435" i="2"/>
  <c r="D435" i="2"/>
  <c r="A436" i="2"/>
  <c r="B436" i="2"/>
  <c r="C436" i="2"/>
  <c r="D436" i="2"/>
  <c r="A437" i="2"/>
  <c r="B437" i="2"/>
  <c r="C437" i="2"/>
  <c r="D437" i="2"/>
  <c r="A438" i="2"/>
  <c r="B438" i="2"/>
  <c r="C438" i="2"/>
  <c r="D438" i="2"/>
  <c r="A439" i="2"/>
  <c r="B439" i="2"/>
  <c r="C439" i="2"/>
  <c r="D439" i="2"/>
  <c r="A440" i="2"/>
  <c r="B440" i="2"/>
  <c r="C440" i="2"/>
  <c r="D440" i="2"/>
  <c r="A441" i="2"/>
  <c r="B441" i="2"/>
  <c r="C441" i="2"/>
  <c r="D441" i="2"/>
  <c r="A442" i="2"/>
  <c r="B442" i="2"/>
  <c r="C442" i="2"/>
  <c r="D442" i="2"/>
  <c r="A443" i="2"/>
  <c r="B443" i="2"/>
  <c r="C443" i="2"/>
  <c r="D443" i="2"/>
  <c r="A444" i="2"/>
  <c r="B444" i="2"/>
  <c r="C444" i="2"/>
  <c r="D444" i="2"/>
  <c r="A445" i="2"/>
  <c r="B445" i="2"/>
  <c r="C445" i="2"/>
  <c r="D445" i="2"/>
  <c r="A446" i="2"/>
  <c r="B446" i="2"/>
  <c r="C446" i="2"/>
  <c r="D446" i="2"/>
  <c r="A447" i="2"/>
  <c r="B447" i="2"/>
  <c r="C447" i="2"/>
  <c r="D447" i="2"/>
  <c r="A448" i="2"/>
  <c r="B448" i="2"/>
  <c r="C448" i="2"/>
  <c r="D448" i="2"/>
  <c r="A449" i="2"/>
  <c r="B449" i="2"/>
  <c r="C449" i="2"/>
  <c r="D449" i="2"/>
  <c r="A450" i="2"/>
  <c r="B450" i="2"/>
  <c r="C450" i="2"/>
  <c r="D450" i="2"/>
  <c r="A451" i="2"/>
  <c r="B451" i="2"/>
  <c r="C451" i="2"/>
  <c r="D451" i="2"/>
  <c r="A452" i="2"/>
  <c r="B452" i="2"/>
  <c r="C452" i="2"/>
  <c r="D452" i="2"/>
  <c r="A453" i="2"/>
  <c r="B453" i="2"/>
  <c r="C453" i="2"/>
  <c r="D453" i="2"/>
  <c r="A454" i="2"/>
  <c r="B454" i="2"/>
  <c r="C454" i="2"/>
  <c r="D454" i="2"/>
  <c r="A455" i="2"/>
  <c r="B455" i="2"/>
  <c r="C455" i="2"/>
  <c r="D455" i="2"/>
  <c r="A456" i="2"/>
  <c r="B456" i="2"/>
  <c r="C456" i="2"/>
  <c r="D456" i="2"/>
  <c r="A457" i="2"/>
  <c r="B457" i="2"/>
  <c r="C457" i="2"/>
  <c r="D457" i="2"/>
  <c r="A458" i="2"/>
  <c r="B458" i="2"/>
  <c r="C458" i="2"/>
  <c r="D458" i="2"/>
  <c r="A459" i="2"/>
  <c r="B459" i="2"/>
  <c r="C459" i="2"/>
  <c r="D459" i="2"/>
  <c r="A460" i="2"/>
  <c r="B460" i="2"/>
  <c r="C460" i="2"/>
  <c r="D460" i="2"/>
  <c r="A461" i="2"/>
  <c r="B461" i="2"/>
  <c r="C461" i="2"/>
  <c r="D461" i="2"/>
  <c r="A462" i="2"/>
  <c r="B462" i="2"/>
  <c r="C462" i="2"/>
  <c r="D462" i="2"/>
  <c r="A463" i="2"/>
  <c r="B463" i="2"/>
  <c r="C463" i="2"/>
  <c r="D463" i="2"/>
  <c r="A464" i="2"/>
  <c r="B464" i="2"/>
  <c r="C464" i="2"/>
  <c r="D464" i="2"/>
  <c r="A465" i="2"/>
  <c r="B465" i="2"/>
  <c r="C465" i="2"/>
  <c r="D465" i="2"/>
  <c r="A466" i="2"/>
  <c r="B466" i="2"/>
  <c r="C466" i="2"/>
  <c r="D466" i="2"/>
  <c r="A467" i="2"/>
  <c r="B467" i="2"/>
  <c r="C467" i="2"/>
  <c r="D467" i="2"/>
  <c r="A468" i="2"/>
  <c r="B468" i="2"/>
  <c r="C468" i="2"/>
  <c r="D468" i="2"/>
  <c r="A469" i="2"/>
  <c r="B469" i="2"/>
  <c r="C469" i="2"/>
  <c r="D469" i="2"/>
  <c r="A470" i="2"/>
  <c r="B470" i="2"/>
  <c r="C470" i="2"/>
  <c r="D470" i="2"/>
  <c r="A471" i="2"/>
  <c r="B471" i="2"/>
  <c r="C471" i="2"/>
  <c r="D471" i="2"/>
  <c r="A472" i="2"/>
  <c r="B472" i="2"/>
  <c r="C472" i="2"/>
  <c r="D472" i="2"/>
  <c r="A473" i="2"/>
  <c r="B473" i="2"/>
  <c r="C473" i="2"/>
  <c r="D473" i="2"/>
  <c r="A474" i="2"/>
  <c r="B474" i="2"/>
  <c r="C474" i="2"/>
  <c r="D474" i="2"/>
  <c r="A475" i="2"/>
  <c r="B475" i="2"/>
  <c r="C475" i="2"/>
  <c r="D475" i="2"/>
  <c r="A476" i="2"/>
  <c r="B476" i="2"/>
  <c r="C476" i="2"/>
  <c r="D476" i="2"/>
  <c r="A477" i="2"/>
  <c r="B477" i="2"/>
  <c r="C477" i="2"/>
  <c r="D477" i="2"/>
  <c r="A478" i="2"/>
  <c r="B478" i="2"/>
  <c r="C478" i="2"/>
  <c r="D478" i="2"/>
  <c r="A479" i="2"/>
  <c r="B479" i="2"/>
  <c r="C479" i="2"/>
  <c r="D479" i="2"/>
  <c r="A480" i="2"/>
  <c r="B480" i="2"/>
  <c r="C480" i="2"/>
  <c r="D480" i="2"/>
  <c r="A481" i="2"/>
  <c r="B481" i="2"/>
  <c r="C481" i="2"/>
  <c r="D481" i="2"/>
  <c r="A482" i="2"/>
  <c r="B482" i="2"/>
  <c r="C482" i="2"/>
  <c r="D482" i="2"/>
  <c r="A483" i="2"/>
  <c r="B483" i="2"/>
  <c r="C483" i="2"/>
  <c r="D483" i="2"/>
  <c r="A484" i="2"/>
  <c r="B484" i="2"/>
  <c r="C484" i="2"/>
  <c r="D484" i="2"/>
  <c r="A485" i="2"/>
  <c r="B485" i="2"/>
  <c r="C485" i="2"/>
  <c r="D485" i="2"/>
  <c r="A486" i="2"/>
  <c r="B486" i="2"/>
  <c r="C486" i="2"/>
  <c r="D486" i="2"/>
  <c r="A487" i="2"/>
  <c r="B487" i="2"/>
  <c r="C487" i="2"/>
  <c r="D487" i="2"/>
  <c r="A488" i="2"/>
  <c r="B488" i="2"/>
  <c r="C488" i="2"/>
  <c r="D488" i="2"/>
  <c r="A489" i="2"/>
  <c r="B489" i="2"/>
  <c r="C489" i="2"/>
  <c r="D489" i="2"/>
  <c r="A490" i="2"/>
  <c r="B490" i="2"/>
  <c r="C490" i="2"/>
  <c r="D490" i="2"/>
  <c r="A491" i="2"/>
  <c r="B491" i="2"/>
  <c r="C491" i="2"/>
  <c r="D491" i="2"/>
  <c r="A492" i="2"/>
  <c r="B492" i="2"/>
  <c r="C492" i="2"/>
  <c r="D492" i="2"/>
  <c r="A493" i="2"/>
  <c r="B493" i="2"/>
  <c r="C493" i="2"/>
  <c r="D493" i="2"/>
  <c r="A494" i="2"/>
  <c r="B494" i="2"/>
  <c r="C494" i="2"/>
  <c r="D494" i="2"/>
  <c r="A495" i="2"/>
  <c r="B495" i="2"/>
  <c r="C495" i="2"/>
  <c r="D495" i="2"/>
  <c r="A496" i="2"/>
  <c r="B496" i="2"/>
  <c r="C496" i="2"/>
  <c r="D496" i="2"/>
  <c r="A497" i="2"/>
  <c r="B497" i="2"/>
  <c r="C497" i="2"/>
  <c r="D497" i="2"/>
  <c r="A498" i="2"/>
  <c r="B498" i="2"/>
  <c r="C498" i="2"/>
  <c r="D498" i="2"/>
  <c r="A499" i="2"/>
  <c r="B499" i="2"/>
  <c r="C499" i="2"/>
  <c r="D499" i="2"/>
  <c r="A500" i="2"/>
  <c r="B500" i="2"/>
  <c r="C500" i="2"/>
  <c r="D500" i="2"/>
  <c r="A501" i="2"/>
  <c r="B501" i="2"/>
  <c r="C501" i="2"/>
  <c r="D501" i="2"/>
  <c r="A502" i="2"/>
  <c r="B502" i="2"/>
  <c r="C502" i="2"/>
  <c r="D502" i="2"/>
  <c r="A503" i="2"/>
  <c r="B503" i="2"/>
  <c r="C503" i="2"/>
  <c r="D503" i="2"/>
  <c r="A504" i="2"/>
  <c r="B504" i="2"/>
  <c r="C504" i="2"/>
  <c r="D504" i="2"/>
  <c r="A505" i="2"/>
  <c r="B505" i="2"/>
  <c r="C505" i="2"/>
  <c r="D505" i="2"/>
  <c r="A506" i="2"/>
  <c r="B506" i="2"/>
  <c r="C506" i="2"/>
  <c r="D506" i="2"/>
  <c r="A507" i="2"/>
  <c r="B507" i="2"/>
  <c r="C507" i="2"/>
  <c r="D507" i="2"/>
  <c r="A508" i="2"/>
  <c r="B508" i="2"/>
  <c r="C508" i="2"/>
  <c r="D508" i="2"/>
  <c r="A509" i="2"/>
  <c r="B509" i="2"/>
  <c r="C509" i="2"/>
  <c r="D509" i="2"/>
  <c r="A510" i="2"/>
  <c r="B510" i="2"/>
  <c r="C510" i="2"/>
  <c r="D510" i="2"/>
  <c r="A511" i="2"/>
  <c r="B511" i="2"/>
  <c r="C511" i="2"/>
  <c r="D511" i="2"/>
  <c r="A512" i="2"/>
  <c r="B512" i="2"/>
  <c r="C512" i="2"/>
  <c r="D512" i="2"/>
  <c r="A513" i="2"/>
  <c r="B513" i="2"/>
  <c r="C513" i="2"/>
  <c r="D513" i="2"/>
  <c r="A514" i="2"/>
  <c r="B514" i="2"/>
  <c r="C514" i="2"/>
  <c r="D514" i="2"/>
  <c r="A515" i="2"/>
  <c r="B515" i="2"/>
  <c r="C515" i="2"/>
  <c r="D515" i="2"/>
  <c r="A516" i="2"/>
  <c r="B516" i="2"/>
  <c r="C516" i="2"/>
  <c r="D516" i="2"/>
  <c r="A517" i="2"/>
  <c r="B517" i="2"/>
  <c r="C517" i="2"/>
  <c r="D517" i="2"/>
  <c r="A518" i="2"/>
  <c r="B518" i="2"/>
  <c r="C518" i="2"/>
  <c r="D518" i="2"/>
  <c r="A519" i="2"/>
  <c r="B519" i="2"/>
  <c r="C519" i="2"/>
  <c r="D519" i="2"/>
  <c r="A520" i="2"/>
  <c r="B520" i="2"/>
  <c r="C520" i="2"/>
  <c r="D520" i="2"/>
  <c r="A521" i="2"/>
  <c r="B521" i="2"/>
  <c r="C521" i="2"/>
  <c r="D521" i="2"/>
  <c r="A522" i="2"/>
  <c r="B522" i="2"/>
  <c r="C522" i="2"/>
  <c r="D522" i="2"/>
  <c r="A523" i="2"/>
  <c r="D523" i="2"/>
  <c r="A524" i="2"/>
  <c r="D524" i="2"/>
  <c r="A525" i="2"/>
  <c r="D525" i="2"/>
  <c r="A526" i="2"/>
  <c r="B526" i="2"/>
  <c r="C526" i="2"/>
  <c r="D526" i="2"/>
  <c r="A527" i="2"/>
  <c r="B527" i="2"/>
  <c r="D527" i="2"/>
  <c r="A528" i="2"/>
  <c r="D528" i="2"/>
  <c r="A529" i="2"/>
  <c r="D529" i="2"/>
  <c r="A530" i="2"/>
  <c r="D530" i="2"/>
  <c r="A531" i="2"/>
  <c r="D531" i="2"/>
  <c r="A532" i="2"/>
  <c r="B532" i="2"/>
  <c r="C532" i="2"/>
  <c r="D532" i="2"/>
  <c r="A533" i="2"/>
  <c r="B533" i="2"/>
  <c r="C533" i="2"/>
  <c r="D533" i="2"/>
  <c r="A534" i="2"/>
  <c r="B534" i="2"/>
  <c r="C534" i="2"/>
  <c r="D534" i="2"/>
  <c r="A535" i="2"/>
  <c r="D535" i="2"/>
  <c r="A536" i="2"/>
  <c r="B536" i="2"/>
  <c r="C536" i="2"/>
  <c r="D536" i="2"/>
  <c r="A537" i="2"/>
  <c r="B537" i="2"/>
  <c r="C537" i="2"/>
  <c r="D537" i="2"/>
  <c r="A538" i="2"/>
  <c r="B538" i="2"/>
  <c r="C538" i="2"/>
  <c r="D538" i="2"/>
  <c r="A539" i="2"/>
  <c r="D539" i="2"/>
  <c r="A540" i="2"/>
  <c r="B540" i="2"/>
  <c r="C540" i="2"/>
  <c r="D540" i="2"/>
  <c r="A541" i="2"/>
  <c r="B541" i="2"/>
  <c r="C541" i="2"/>
  <c r="D541" i="2"/>
  <c r="A542" i="2"/>
  <c r="B542" i="2"/>
  <c r="C542" i="2"/>
  <c r="D542" i="2"/>
  <c r="A543" i="2"/>
  <c r="B543" i="2"/>
  <c r="C543" i="2"/>
  <c r="D543" i="2"/>
  <c r="A544" i="2"/>
  <c r="B544" i="2"/>
  <c r="C544" i="2"/>
  <c r="D544" i="2"/>
  <c r="A545" i="2"/>
  <c r="B545" i="2"/>
  <c r="C545" i="2"/>
  <c r="D545" i="2"/>
  <c r="A546" i="2"/>
  <c r="B546" i="2"/>
  <c r="C546" i="2"/>
  <c r="D546" i="2"/>
  <c r="A547" i="2"/>
  <c r="B547" i="2"/>
  <c r="C547" i="2"/>
  <c r="D547" i="2"/>
  <c r="A548" i="2"/>
  <c r="B548" i="2"/>
  <c r="C548" i="2"/>
  <c r="D548" i="2"/>
  <c r="A549" i="2"/>
  <c r="B549" i="2"/>
  <c r="D549" i="2"/>
  <c r="A550" i="2"/>
  <c r="D550" i="2"/>
  <c r="A551" i="2"/>
  <c r="D551" i="2"/>
  <c r="A552" i="2"/>
  <c r="D552" i="2"/>
  <c r="E266" i="1"/>
  <c r="E304" i="1"/>
  <c r="J332" i="1"/>
  <c r="J322" i="1"/>
  <c r="J318" i="1"/>
  <c r="J333" i="1"/>
  <c r="J334" i="1"/>
  <c r="J337" i="1"/>
  <c r="J880" i="2"/>
  <c r="F631" i="2"/>
  <c r="J631" i="2" s="1"/>
  <c r="F268" i="2"/>
  <c r="J268" i="2" s="1"/>
  <c r="J269" i="2" s="1"/>
  <c r="J1393" i="2"/>
  <c r="J1392" i="2"/>
  <c r="J929" i="2"/>
  <c r="J928" i="2"/>
  <c r="J598" i="2"/>
  <c r="J597" i="2"/>
  <c r="J72" i="2"/>
  <c r="J71" i="2"/>
  <c r="J664" i="2"/>
  <c r="E373" i="1" s="1"/>
  <c r="J373" i="1" s="1"/>
  <c r="E662" i="2"/>
  <c r="B662" i="2"/>
  <c r="C662" i="2"/>
  <c r="D662" i="2"/>
  <c r="A662" i="2"/>
  <c r="J896" i="2"/>
  <c r="J897" i="2" s="1"/>
  <c r="E415" i="1" s="1"/>
  <c r="J415" i="1" s="1"/>
  <c r="E895" i="2"/>
  <c r="B895" i="2"/>
  <c r="C895" i="2"/>
  <c r="D895" i="2"/>
  <c r="A895" i="2"/>
  <c r="J271" i="2"/>
  <c r="J272" i="2" s="1"/>
  <c r="E60" i="1" s="1"/>
  <c r="J60" i="1" s="1"/>
  <c r="E270" i="2"/>
  <c r="B270" i="2"/>
  <c r="C270" i="2"/>
  <c r="D270" i="2"/>
  <c r="A270" i="2"/>
  <c r="J274" i="2"/>
  <c r="J275" i="2" s="1"/>
  <c r="E61" i="1" s="1"/>
  <c r="J61" i="1" s="1"/>
  <c r="E273" i="2"/>
  <c r="B273" i="2"/>
  <c r="C273" i="2"/>
  <c r="D273" i="2"/>
  <c r="A273" i="2"/>
  <c r="A276" i="2"/>
  <c r="B276" i="2"/>
  <c r="C276" i="2"/>
  <c r="D276" i="2"/>
  <c r="E276" i="2"/>
  <c r="J277" i="2"/>
  <c r="J278" i="2"/>
  <c r="J279" i="2"/>
  <c r="J280" i="2"/>
  <c r="E66" i="2"/>
  <c r="B66" i="2"/>
  <c r="C66" i="2"/>
  <c r="D66" i="2"/>
  <c r="A66" i="2"/>
  <c r="J67" i="2"/>
  <c r="J68" i="2" s="1"/>
  <c r="E30" i="1" s="1"/>
  <c r="J30" i="1" s="1"/>
  <c r="E16" i="2"/>
  <c r="B16" i="2"/>
  <c r="C16" i="2"/>
  <c r="D16" i="2"/>
  <c r="A16" i="2"/>
  <c r="J18" i="2"/>
  <c r="E10" i="1" s="1"/>
  <c r="J10" i="1" s="1"/>
  <c r="E328" i="1"/>
  <c r="J1394" i="2" l="1"/>
  <c r="F483" i="2"/>
  <c r="J266" i="1"/>
  <c r="F545" i="2"/>
  <c r="J328" i="1"/>
  <c r="F521" i="2"/>
  <c r="J304" i="1"/>
  <c r="J281" i="2"/>
  <c r="J1365" i="2"/>
  <c r="J1364" i="2"/>
  <c r="J681" i="2"/>
  <c r="J682" i="2" s="1"/>
  <c r="E383" i="1" s="1"/>
  <c r="J383" i="1" s="1"/>
  <c r="E680" i="2"/>
  <c r="B680" i="2"/>
  <c r="C680" i="2"/>
  <c r="D680" i="2"/>
  <c r="A680" i="2"/>
  <c r="A683" i="2"/>
  <c r="J685" i="2"/>
  <c r="E384" i="1" s="1"/>
  <c r="F139" i="4"/>
  <c r="F138" i="4"/>
  <c r="F137" i="4"/>
  <c r="F136" i="4"/>
  <c r="F135" i="4"/>
  <c r="F134" i="4"/>
  <c r="F140" i="4" s="1"/>
  <c r="J384" i="1" l="1"/>
  <c r="J1366" i="2"/>
  <c r="E459" i="1" s="1"/>
  <c r="J459" i="1" s="1"/>
  <c r="J1515" i="2"/>
  <c r="E467" i="1" s="1"/>
  <c r="J467" i="1" s="1"/>
  <c r="H716" i="2" l="1"/>
  <c r="J1518" i="2"/>
  <c r="J1517" i="2"/>
  <c r="J1519" i="2" l="1"/>
  <c r="E468" i="1" s="1"/>
  <c r="J468" i="1" s="1"/>
  <c r="J879" i="2"/>
  <c r="E878" i="2"/>
  <c r="B878" i="2"/>
  <c r="C878" i="2"/>
  <c r="D878" i="2"/>
  <c r="A878" i="2"/>
  <c r="F33" i="2"/>
  <c r="F82" i="2"/>
  <c r="J1544" i="2"/>
  <c r="J1551" i="2"/>
  <c r="J1636" i="2"/>
  <c r="J1637" i="2" s="1"/>
  <c r="E489" i="1" s="1"/>
  <c r="J489" i="1" s="1"/>
  <c r="E1635" i="2"/>
  <c r="B1635" i="2"/>
  <c r="C1635" i="2"/>
  <c r="D1635" i="2"/>
  <c r="A1635" i="2"/>
  <c r="J1639" i="2"/>
  <c r="J1673" i="2"/>
  <c r="J1667" i="2"/>
  <c r="E1666" i="2"/>
  <c r="J1668" i="2"/>
  <c r="B1666" i="2"/>
  <c r="C1666" i="2"/>
  <c r="D1666" i="2"/>
  <c r="D1672" i="2" s="1"/>
  <c r="A1666" i="2"/>
  <c r="J1664" i="2"/>
  <c r="J1663" i="2"/>
  <c r="J1677" i="2"/>
  <c r="J1676" i="2"/>
  <c r="J881" i="2" l="1"/>
  <c r="F1489" i="2" s="1"/>
  <c r="J1489" i="2" s="1"/>
  <c r="J1678" i="2"/>
  <c r="F76" i="2"/>
  <c r="J76" i="2" s="1"/>
  <c r="J82" i="2"/>
  <c r="J1669" i="2"/>
  <c r="E500" i="1" s="1"/>
  <c r="J500" i="1" s="1"/>
  <c r="J1665" i="2"/>
  <c r="F1671" i="2" s="1"/>
  <c r="J1671" i="2" s="1"/>
  <c r="J1660" i="2"/>
  <c r="J1659" i="2"/>
  <c r="J1652" i="2"/>
  <c r="J1651" i="2"/>
  <c r="J1648" i="2"/>
  <c r="J1647" i="2"/>
  <c r="E1650" i="2"/>
  <c r="E1654" i="2"/>
  <c r="E1658" i="2"/>
  <c r="E1662" i="2"/>
  <c r="E1670" i="2"/>
  <c r="E1675" i="2"/>
  <c r="E1646" i="2"/>
  <c r="B1646" i="2"/>
  <c r="C1646" i="2"/>
  <c r="D1646" i="2"/>
  <c r="B1650" i="2"/>
  <c r="C1650" i="2"/>
  <c r="D1650" i="2"/>
  <c r="B1654" i="2"/>
  <c r="C1654" i="2"/>
  <c r="D1654" i="2"/>
  <c r="B1658" i="2"/>
  <c r="C1658" i="2"/>
  <c r="D1658" i="2"/>
  <c r="B1662" i="2"/>
  <c r="C1662" i="2"/>
  <c r="D1662" i="2"/>
  <c r="D1671" i="2" s="1"/>
  <c r="B1670" i="2"/>
  <c r="C1670" i="2"/>
  <c r="D1670" i="2"/>
  <c r="B1675" i="2"/>
  <c r="C1675" i="2"/>
  <c r="D1675" i="2"/>
  <c r="A1646" i="2"/>
  <c r="A1650" i="2"/>
  <c r="A1654" i="2"/>
  <c r="A1658" i="2"/>
  <c r="A1662" i="2"/>
  <c r="A1670" i="2"/>
  <c r="A1675" i="2"/>
  <c r="D1645" i="2"/>
  <c r="C1645" i="2"/>
  <c r="B1645" i="2"/>
  <c r="A1645" i="2"/>
  <c r="A1644" i="2"/>
  <c r="E412" i="1" l="1"/>
  <c r="J412" i="1" s="1"/>
  <c r="F1672" i="2"/>
  <c r="J1672" i="2" s="1"/>
  <c r="J1674" i="2" s="1"/>
  <c r="E501" i="1" s="1"/>
  <c r="J501" i="1" s="1"/>
  <c r="J1649" i="2"/>
  <c r="E495" i="1" s="1"/>
  <c r="J495" i="1" s="1"/>
  <c r="J1661" i="2"/>
  <c r="E498" i="1" s="1"/>
  <c r="J498" i="1" s="1"/>
  <c r="E499" i="1"/>
  <c r="J499" i="1" s="1"/>
  <c r="J1653" i="2"/>
  <c r="E127" i="4"/>
  <c r="F127" i="4" s="1"/>
  <c r="E126" i="4"/>
  <c r="F126" i="4" s="1"/>
  <c r="E125" i="4"/>
  <c r="F125" i="4" s="1"/>
  <c r="E124" i="4"/>
  <c r="F124" i="4" s="1"/>
  <c r="E123" i="4"/>
  <c r="F123" i="4" s="1"/>
  <c r="E122" i="4"/>
  <c r="F122" i="4" s="1"/>
  <c r="E121" i="4"/>
  <c r="F121" i="4" s="1"/>
  <c r="E120" i="4"/>
  <c r="F120" i="4" s="1"/>
  <c r="E119" i="4"/>
  <c r="F119" i="4" s="1"/>
  <c r="E118" i="4"/>
  <c r="F118" i="4" s="1"/>
  <c r="F115" i="4"/>
  <c r="G115" i="4" s="1"/>
  <c r="F114" i="4"/>
  <c r="G114" i="4" s="1"/>
  <c r="F113" i="4"/>
  <c r="G113" i="4" s="1"/>
  <c r="F112" i="4"/>
  <c r="G112" i="4" s="1"/>
  <c r="E105" i="4"/>
  <c r="F105" i="4" s="1"/>
  <c r="E104" i="4"/>
  <c r="F104" i="4" s="1"/>
  <c r="E103" i="4"/>
  <c r="F103" i="4" s="1"/>
  <c r="E102" i="4"/>
  <c r="F102" i="4" s="1"/>
  <c r="E101" i="4"/>
  <c r="F101" i="4" s="1"/>
  <c r="E100" i="4"/>
  <c r="F100" i="4" s="1"/>
  <c r="E99" i="4"/>
  <c r="F99" i="4" s="1"/>
  <c r="E98" i="4"/>
  <c r="F98" i="4" s="1"/>
  <c r="E97" i="4"/>
  <c r="F97" i="4" s="1"/>
  <c r="E96" i="4"/>
  <c r="F96" i="4" s="1"/>
  <c r="F93" i="4"/>
  <c r="G93" i="4" s="1"/>
  <c r="F92" i="4"/>
  <c r="G92" i="4" s="1"/>
  <c r="F91" i="4"/>
  <c r="G91" i="4" s="1"/>
  <c r="F90" i="4"/>
  <c r="G90" i="4" s="1"/>
  <c r="E82" i="4"/>
  <c r="F82" i="4" s="1"/>
  <c r="E81" i="4"/>
  <c r="F81" i="4" s="1"/>
  <c r="E80" i="4"/>
  <c r="F80" i="4" s="1"/>
  <c r="E79" i="4"/>
  <c r="F79" i="4" s="1"/>
  <c r="E78" i="4"/>
  <c r="F78" i="4" s="1"/>
  <c r="E77" i="4"/>
  <c r="F77" i="4" s="1"/>
  <c r="E76" i="4"/>
  <c r="F76" i="4" s="1"/>
  <c r="E75" i="4"/>
  <c r="F75" i="4" s="1"/>
  <c r="E74" i="4"/>
  <c r="F74" i="4" s="1"/>
  <c r="E73" i="4"/>
  <c r="F73" i="4" s="1"/>
  <c r="F70" i="4"/>
  <c r="G70" i="4" s="1"/>
  <c r="F69" i="4"/>
  <c r="G69" i="4" s="1"/>
  <c r="F68" i="4"/>
  <c r="G68" i="4" s="1"/>
  <c r="F67" i="4"/>
  <c r="G67" i="4" s="1"/>
  <c r="E60" i="4"/>
  <c r="F60" i="4" s="1"/>
  <c r="E59" i="4"/>
  <c r="F59" i="4" s="1"/>
  <c r="E58" i="4"/>
  <c r="F58" i="4" s="1"/>
  <c r="E57" i="4"/>
  <c r="F57" i="4" s="1"/>
  <c r="E56" i="4"/>
  <c r="F56" i="4" s="1"/>
  <c r="E55" i="4"/>
  <c r="F55" i="4" s="1"/>
  <c r="E54" i="4"/>
  <c r="F54" i="4" s="1"/>
  <c r="E53" i="4"/>
  <c r="F53" i="4" s="1"/>
  <c r="E52" i="4"/>
  <c r="F52" i="4" s="1"/>
  <c r="E51" i="4"/>
  <c r="F51" i="4" s="1"/>
  <c r="E50" i="4"/>
  <c r="F50" i="4" s="1"/>
  <c r="E49" i="4"/>
  <c r="F49" i="4" s="1"/>
  <c r="E48" i="4"/>
  <c r="F48" i="4" s="1"/>
  <c r="E47" i="4"/>
  <c r="F47" i="4" s="1"/>
  <c r="E46" i="4"/>
  <c r="F46" i="4" s="1"/>
  <c r="E45" i="4"/>
  <c r="F45" i="4" s="1"/>
  <c r="E44" i="4"/>
  <c r="F44" i="4" s="1"/>
  <c r="E43" i="4"/>
  <c r="F43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E28" i="4"/>
  <c r="F28" i="4" s="1"/>
  <c r="E27" i="4"/>
  <c r="F27" i="4" s="1"/>
  <c r="E26" i="4"/>
  <c r="F26" i="4" s="1"/>
  <c r="E25" i="4"/>
  <c r="F25" i="4" s="1"/>
  <c r="E24" i="4"/>
  <c r="F24" i="4" s="1"/>
  <c r="E23" i="4"/>
  <c r="F23" i="4" s="1"/>
  <c r="E22" i="4"/>
  <c r="F22" i="4" s="1"/>
  <c r="E21" i="4"/>
  <c r="F21" i="4" s="1"/>
  <c r="E20" i="4"/>
  <c r="F20" i="4" s="1"/>
  <c r="E19" i="4"/>
  <c r="F19" i="4" s="1"/>
  <c r="E18" i="4"/>
  <c r="F18" i="4" s="1"/>
  <c r="E17" i="4"/>
  <c r="F17" i="4" s="1"/>
  <c r="E16" i="4"/>
  <c r="F16" i="4" s="1"/>
  <c r="E15" i="4"/>
  <c r="F15" i="4" s="1"/>
  <c r="E14" i="4"/>
  <c r="F14" i="4" s="1"/>
  <c r="E13" i="4"/>
  <c r="F13" i="4" s="1"/>
  <c r="E12" i="4"/>
  <c r="F12" i="4" s="1"/>
  <c r="E11" i="4"/>
  <c r="F11" i="4" s="1"/>
  <c r="F8" i="4"/>
  <c r="G8" i="4" s="1"/>
  <c r="F7" i="4"/>
  <c r="G7" i="4" s="1"/>
  <c r="F6" i="4"/>
  <c r="G6" i="4" s="1"/>
  <c r="F5" i="4"/>
  <c r="G5" i="4" s="1"/>
  <c r="F4" i="4"/>
  <c r="G4" i="4" s="1"/>
  <c r="F3" i="4"/>
  <c r="G3" i="4" s="1"/>
  <c r="G116" i="4" l="1"/>
  <c r="E502" i="1"/>
  <c r="J502" i="1" s="1"/>
  <c r="F1655" i="2"/>
  <c r="J1655" i="2" s="1"/>
  <c r="E496" i="1"/>
  <c r="J496" i="1" s="1"/>
  <c r="G128" i="4"/>
  <c r="G129" i="4" s="1"/>
  <c r="J314" i="1" s="1"/>
  <c r="G94" i="4"/>
  <c r="G71" i="4"/>
  <c r="G83" i="4"/>
  <c r="G84" i="4" s="1"/>
  <c r="J312" i="1" s="1"/>
  <c r="G106" i="4"/>
  <c r="G41" i="4"/>
  <c r="G61" i="4"/>
  <c r="G9" i="4"/>
  <c r="G29" i="4"/>
  <c r="G62" i="4" l="1"/>
  <c r="J311" i="1" s="1"/>
  <c r="G107" i="4"/>
  <c r="J313" i="1" s="1"/>
  <c r="J1657" i="2"/>
  <c r="E497" i="1" s="1"/>
  <c r="J497" i="1" s="1"/>
  <c r="K503" i="1" s="1"/>
  <c r="G30" i="4"/>
  <c r="J310" i="1" s="1"/>
  <c r="J1145" i="2" l="1"/>
  <c r="J1140" i="2"/>
  <c r="J1141" i="2"/>
  <c r="J1142" i="2"/>
  <c r="J1143" i="2"/>
  <c r="J1144" i="2"/>
  <c r="J1146" i="2"/>
  <c r="J720" i="2"/>
  <c r="J1212" i="2"/>
  <c r="J1211" i="2"/>
  <c r="J678" i="2"/>
  <c r="J677" i="2"/>
  <c r="J674" i="2"/>
  <c r="J675" i="2" s="1"/>
  <c r="E676" i="2"/>
  <c r="E683" i="2"/>
  <c r="D676" i="2"/>
  <c r="D683" i="2"/>
  <c r="C676" i="2"/>
  <c r="B676" i="2"/>
  <c r="B683" i="2"/>
  <c r="A676" i="2"/>
  <c r="J190" i="2"/>
  <c r="J189" i="2"/>
  <c r="J179" i="2"/>
  <c r="J1218" i="2" l="1"/>
  <c r="J679" i="2"/>
  <c r="E382" i="1" s="1"/>
  <c r="J382" i="1" s="1"/>
  <c r="E381" i="1"/>
  <c r="J381" i="1" s="1"/>
  <c r="J308" i="1"/>
  <c r="J307" i="1"/>
  <c r="J306" i="1"/>
  <c r="E360" i="2"/>
  <c r="D360" i="2"/>
  <c r="C360" i="2"/>
  <c r="B360" i="2"/>
  <c r="A360" i="2"/>
  <c r="E193" i="1"/>
  <c r="J193" i="1" s="1"/>
  <c r="E192" i="1"/>
  <c r="J192" i="1" s="1"/>
  <c r="K385" i="1" l="1"/>
  <c r="F409" i="2"/>
  <c r="F410" i="2"/>
  <c r="E226" i="1"/>
  <c r="E223" i="1"/>
  <c r="E220" i="1"/>
  <c r="E210" i="1"/>
  <c r="E205" i="1"/>
  <c r="E199" i="1"/>
  <c r="E190" i="1"/>
  <c r="E191" i="1"/>
  <c r="F408" i="2" l="1"/>
  <c r="J191" i="1"/>
  <c r="F427" i="2"/>
  <c r="J210" i="1"/>
  <c r="F407" i="2"/>
  <c r="J190" i="1"/>
  <c r="F437" i="2"/>
  <c r="J220" i="1"/>
  <c r="F416" i="2"/>
  <c r="J199" i="1"/>
  <c r="F440" i="2"/>
  <c r="J223" i="1"/>
  <c r="F422" i="2"/>
  <c r="J205" i="1"/>
  <c r="F443" i="2"/>
  <c r="J226" i="1"/>
  <c r="E559" i="2"/>
  <c r="C559" i="2"/>
  <c r="D559" i="2"/>
  <c r="B559" i="2"/>
  <c r="A559" i="2"/>
  <c r="J1381" i="2" l="1"/>
  <c r="J1382" i="2" s="1"/>
  <c r="J1379" i="2"/>
  <c r="J1491" i="2"/>
  <c r="J1557" i="2"/>
  <c r="J927" i="2"/>
  <c r="J926" i="2"/>
  <c r="J592" i="2"/>
  <c r="E1556" i="2" l="1"/>
  <c r="B1556" i="2"/>
  <c r="C1556" i="2"/>
  <c r="D1556" i="2"/>
  <c r="A1556" i="2"/>
  <c r="J1558" i="2"/>
  <c r="E479" i="1" s="1"/>
  <c r="J479" i="1" s="1"/>
  <c r="J591" i="2"/>
  <c r="A3" i="2"/>
  <c r="J871" i="2"/>
  <c r="J630" i="2"/>
  <c r="J1521" i="2"/>
  <c r="J1522" i="2" s="1"/>
  <c r="E469" i="1" s="1"/>
  <c r="J469" i="1" s="1"/>
  <c r="J1642" i="2"/>
  <c r="J1643" i="2" s="1"/>
  <c r="E491" i="1" s="1"/>
  <c r="J491" i="1" s="1"/>
  <c r="J1640" i="2"/>
  <c r="E490" i="1" s="1"/>
  <c r="J490" i="1" s="1"/>
  <c r="J1359" i="2" l="1"/>
  <c r="J1580" i="2" l="1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579" i="2"/>
  <c r="J1612" i="2"/>
  <c r="J1630" i="2"/>
  <c r="J1607" i="2"/>
  <c r="J1608" i="2"/>
  <c r="J1609" i="2"/>
  <c r="J1610" i="2"/>
  <c r="J1611" i="2"/>
  <c r="J1613" i="2"/>
  <c r="J1614" i="2"/>
  <c r="J1615" i="2"/>
  <c r="J1616" i="2"/>
  <c r="J1617" i="2"/>
  <c r="J1618" i="2"/>
  <c r="J1619" i="2"/>
  <c r="J1620" i="2"/>
  <c r="J1621" i="2"/>
  <c r="J1622" i="2"/>
  <c r="J1623" i="2"/>
  <c r="J1624" i="2"/>
  <c r="J1625" i="2"/>
  <c r="J1626" i="2"/>
  <c r="J1627" i="2"/>
  <c r="J1628" i="2"/>
  <c r="J1629" i="2"/>
  <c r="J1606" i="2"/>
  <c r="J1576" i="2"/>
  <c r="J1577" i="2" s="1"/>
  <c r="E485" i="1" s="1"/>
  <c r="J485" i="1" s="1"/>
  <c r="J1572" i="2"/>
  <c r="J1574" i="2" s="1"/>
  <c r="E484" i="1" s="1"/>
  <c r="J484" i="1" s="1"/>
  <c r="J1569" i="2"/>
  <c r="J1570" i="2" s="1"/>
  <c r="E483" i="1" s="1"/>
  <c r="J483" i="1" s="1"/>
  <c r="J1566" i="2"/>
  <c r="J1567" i="2" s="1"/>
  <c r="E482" i="1" s="1"/>
  <c r="J482" i="1" s="1"/>
  <c r="J1563" i="2"/>
  <c r="J1564" i="2" s="1"/>
  <c r="E481" i="1" s="1"/>
  <c r="J481" i="1" s="1"/>
  <c r="J1560" i="2"/>
  <c r="J1561" i="2" s="1"/>
  <c r="E480" i="1" s="1"/>
  <c r="J480" i="1" s="1"/>
  <c r="J1554" i="2"/>
  <c r="J1555" i="2" s="1"/>
  <c r="E478" i="1" s="1"/>
  <c r="J478" i="1" s="1"/>
  <c r="J1552" i="2"/>
  <c r="E477" i="1" s="1"/>
  <c r="J477" i="1" s="1"/>
  <c r="J1545" i="2"/>
  <c r="E475" i="1" s="1"/>
  <c r="J475" i="1" s="1"/>
  <c r="J1541" i="2"/>
  <c r="J1542" i="2" s="1"/>
  <c r="E474" i="1" s="1"/>
  <c r="J474" i="1" s="1"/>
  <c r="E1543" i="2"/>
  <c r="E1546" i="2"/>
  <c r="E1550" i="2"/>
  <c r="E1553" i="2"/>
  <c r="E1559" i="2"/>
  <c r="E1562" i="2"/>
  <c r="E1565" i="2"/>
  <c r="E1568" i="2"/>
  <c r="E1571" i="2"/>
  <c r="E1575" i="2"/>
  <c r="E1578" i="2"/>
  <c r="E1605" i="2"/>
  <c r="E1638" i="2"/>
  <c r="E1641" i="2"/>
  <c r="D1543" i="2"/>
  <c r="D1546" i="2"/>
  <c r="D1550" i="2"/>
  <c r="D1553" i="2"/>
  <c r="D1559" i="2"/>
  <c r="D1562" i="2"/>
  <c r="D1565" i="2"/>
  <c r="D1568" i="2"/>
  <c r="D1571" i="2"/>
  <c r="D1575" i="2"/>
  <c r="D1578" i="2"/>
  <c r="D1605" i="2"/>
  <c r="D1638" i="2"/>
  <c r="D1641" i="2"/>
  <c r="C1543" i="2"/>
  <c r="C1546" i="2"/>
  <c r="C1550" i="2"/>
  <c r="C1553" i="2"/>
  <c r="C1559" i="2"/>
  <c r="C1562" i="2"/>
  <c r="C1565" i="2"/>
  <c r="C1568" i="2"/>
  <c r="C1571" i="2"/>
  <c r="C1575" i="2"/>
  <c r="C1578" i="2"/>
  <c r="C1605" i="2"/>
  <c r="C1638" i="2"/>
  <c r="C1641" i="2"/>
  <c r="B1543" i="2"/>
  <c r="B1546" i="2"/>
  <c r="B1550" i="2"/>
  <c r="B1553" i="2"/>
  <c r="B1559" i="2"/>
  <c r="B1562" i="2"/>
  <c r="B1565" i="2"/>
  <c r="B1568" i="2"/>
  <c r="B1571" i="2"/>
  <c r="B1575" i="2"/>
  <c r="B1578" i="2"/>
  <c r="B1605" i="2"/>
  <c r="B1638" i="2"/>
  <c r="B1641" i="2"/>
  <c r="A1638" i="2"/>
  <c r="A1641" i="2"/>
  <c r="A1543" i="2"/>
  <c r="A1546" i="2"/>
  <c r="A1550" i="2"/>
  <c r="A1553" i="2"/>
  <c r="A1559" i="2"/>
  <c r="A1562" i="2"/>
  <c r="A1565" i="2"/>
  <c r="A1568" i="2"/>
  <c r="A1571" i="2"/>
  <c r="A1575" i="2"/>
  <c r="A1578" i="2"/>
  <c r="A1605" i="2"/>
  <c r="E1540" i="2"/>
  <c r="C1540" i="2"/>
  <c r="D1540" i="2"/>
  <c r="B1540" i="2"/>
  <c r="A1540" i="2"/>
  <c r="J1137" i="2"/>
  <c r="J1138" i="2" s="1"/>
  <c r="E438" i="1" s="1"/>
  <c r="J438" i="1" s="1"/>
  <c r="J1134" i="2"/>
  <c r="J1135" i="2" s="1"/>
  <c r="E437" i="1" s="1"/>
  <c r="J437" i="1" s="1"/>
  <c r="J1314" i="2"/>
  <c r="E441" i="1" s="1"/>
  <c r="J441" i="1" s="1"/>
  <c r="F1268" i="2"/>
  <c r="F1261" i="2"/>
  <c r="F1259" i="2"/>
  <c r="F1258" i="2"/>
  <c r="E440" i="1"/>
  <c r="J440" i="1" s="1"/>
  <c r="F1211" i="2"/>
  <c r="F1212" i="2"/>
  <c r="J1147" i="2"/>
  <c r="J1604" i="2" l="1"/>
  <c r="E486" i="1" s="1"/>
  <c r="J486" i="1" s="1"/>
  <c r="J1631" i="2"/>
  <c r="E487" i="1" s="1"/>
  <c r="J487" i="1" s="1"/>
  <c r="E439" i="1"/>
  <c r="J439" i="1" s="1"/>
  <c r="K442" i="1" s="1"/>
  <c r="E1136" i="2" l="1"/>
  <c r="E1139" i="2"/>
  <c r="E1148" i="2"/>
  <c r="E1219" i="2"/>
  <c r="E1133" i="2"/>
  <c r="A1136" i="2"/>
  <c r="B1136" i="2"/>
  <c r="C1136" i="2"/>
  <c r="D1136" i="2"/>
  <c r="A1139" i="2"/>
  <c r="B1139" i="2"/>
  <c r="C1139" i="2"/>
  <c r="D1139" i="2"/>
  <c r="A1148" i="2"/>
  <c r="B1148" i="2"/>
  <c r="C1148" i="2"/>
  <c r="D1148" i="2"/>
  <c r="A1219" i="2"/>
  <c r="B1219" i="2"/>
  <c r="C1219" i="2"/>
  <c r="D1219" i="2"/>
  <c r="B1133" i="2"/>
  <c r="C1133" i="2"/>
  <c r="D1133" i="2"/>
  <c r="A1133" i="2"/>
  <c r="J1510" i="2"/>
  <c r="J1509" i="2"/>
  <c r="E1508" i="2"/>
  <c r="B1508" i="2"/>
  <c r="C1508" i="2"/>
  <c r="D1508" i="2"/>
  <c r="A1508" i="2"/>
  <c r="J1405" i="2"/>
  <c r="J1401" i="2"/>
  <c r="J1397" i="2"/>
  <c r="J1404" i="2"/>
  <c r="J1403" i="2"/>
  <c r="J1402" i="2"/>
  <c r="J1400" i="2"/>
  <c r="J1399" i="2"/>
  <c r="J1398" i="2"/>
  <c r="E1480" i="2"/>
  <c r="B1480" i="2"/>
  <c r="C1480" i="2"/>
  <c r="D1480" i="2"/>
  <c r="A1480" i="2"/>
  <c r="J1407" i="2" l="1"/>
  <c r="E461" i="1" s="1"/>
  <c r="J461" i="1" s="1"/>
  <c r="J1511" i="2"/>
  <c r="E466" i="1" s="1"/>
  <c r="J466" i="1" s="1"/>
  <c r="J1439" i="2" l="1"/>
  <c r="J1438" i="2"/>
  <c r="J1437" i="2"/>
  <c r="J1436" i="2"/>
  <c r="J1435" i="2"/>
  <c r="J1434" i="2"/>
  <c r="J1432" i="2"/>
  <c r="J1431" i="2"/>
  <c r="J1430" i="2"/>
  <c r="J1428" i="2"/>
  <c r="J1427" i="2"/>
  <c r="J1426" i="2"/>
  <c r="J1424" i="2"/>
  <c r="J1423" i="2"/>
  <c r="J1422" i="2"/>
  <c r="J1421" i="2"/>
  <c r="J1419" i="2"/>
  <c r="J1418" i="2"/>
  <c r="J1417" i="2"/>
  <c r="J1416" i="2"/>
  <c r="J1415" i="2"/>
  <c r="J1414" i="2"/>
  <c r="J1413" i="2"/>
  <c r="J1412" i="2"/>
  <c r="J1411" i="2"/>
  <c r="J1410" i="2"/>
  <c r="J1409" i="2"/>
  <c r="J1503" i="2"/>
  <c r="J1502" i="2"/>
  <c r="J1501" i="2"/>
  <c r="J1500" i="2"/>
  <c r="J1499" i="2"/>
  <c r="J1497" i="2"/>
  <c r="J1496" i="2"/>
  <c r="J1495" i="2"/>
  <c r="J1494" i="2"/>
  <c r="J1454" i="2"/>
  <c r="J1453" i="2"/>
  <c r="J1452" i="2"/>
  <c r="J1451" i="2"/>
  <c r="J1450" i="2"/>
  <c r="J1449" i="2"/>
  <c r="J1448" i="2"/>
  <c r="J1447" i="2"/>
  <c r="J1446" i="2"/>
  <c r="J1445" i="2"/>
  <c r="J1444" i="2"/>
  <c r="J1467" i="2"/>
  <c r="J1466" i="2"/>
  <c r="J1465" i="2"/>
  <c r="J1474" i="2"/>
  <c r="J1473" i="2"/>
  <c r="J1472" i="2"/>
  <c r="J1471" i="2"/>
  <c r="J1470" i="2"/>
  <c r="J1469" i="2"/>
  <c r="J1463" i="2"/>
  <c r="J1462" i="2"/>
  <c r="J1461" i="2"/>
  <c r="E1367" i="2"/>
  <c r="E1396" i="2"/>
  <c r="E1408" i="2"/>
  <c r="E1443" i="2"/>
  <c r="E1493" i="2"/>
  <c r="E1512" i="2"/>
  <c r="E1516" i="2"/>
  <c r="E1520" i="2"/>
  <c r="E1363" i="2"/>
  <c r="A1367" i="2"/>
  <c r="B1367" i="2"/>
  <c r="C1367" i="2"/>
  <c r="D1367" i="2"/>
  <c r="A1396" i="2"/>
  <c r="B1396" i="2"/>
  <c r="C1396" i="2"/>
  <c r="D1396" i="2"/>
  <c r="A1408" i="2"/>
  <c r="B1408" i="2"/>
  <c r="C1408" i="2"/>
  <c r="D1408" i="2"/>
  <c r="A1443" i="2"/>
  <c r="B1443" i="2"/>
  <c r="C1443" i="2"/>
  <c r="D1443" i="2"/>
  <c r="A1493" i="2"/>
  <c r="B1493" i="2"/>
  <c r="C1493" i="2"/>
  <c r="D1493" i="2"/>
  <c r="A1512" i="2"/>
  <c r="B1512" i="2"/>
  <c r="C1512" i="2"/>
  <c r="D1512" i="2"/>
  <c r="A1516" i="2"/>
  <c r="B1516" i="2"/>
  <c r="C1516" i="2"/>
  <c r="D1516" i="2"/>
  <c r="A1520" i="2"/>
  <c r="B1520" i="2"/>
  <c r="C1520" i="2"/>
  <c r="D1520" i="2"/>
  <c r="B1363" i="2"/>
  <c r="C1363" i="2"/>
  <c r="D1363" i="2"/>
  <c r="A1363" i="2"/>
  <c r="J1390" i="2"/>
  <c r="J1389" i="2"/>
  <c r="J1388" i="2"/>
  <c r="J1387" i="2"/>
  <c r="J1386" i="2"/>
  <c r="J1385" i="2"/>
  <c r="J1383" i="2"/>
  <c r="J1384" i="2" s="1"/>
  <c r="J1459" i="2"/>
  <c r="J1458" i="2"/>
  <c r="J1457" i="2"/>
  <c r="J1456" i="2"/>
  <c r="J1378" i="2"/>
  <c r="J1377" i="2"/>
  <c r="J1376" i="2"/>
  <c r="J1375" i="2"/>
  <c r="J1374" i="2"/>
  <c r="J1373" i="2"/>
  <c r="J1372" i="2"/>
  <c r="J1371" i="2"/>
  <c r="J1370" i="2"/>
  <c r="J1369" i="2"/>
  <c r="J1368" i="2"/>
  <c r="J946" i="2"/>
  <c r="J945" i="2"/>
  <c r="J944" i="2"/>
  <c r="J943" i="2"/>
  <c r="J942" i="2"/>
  <c r="J941" i="2"/>
  <c r="J939" i="2"/>
  <c r="J938" i="2"/>
  <c r="J937" i="2"/>
  <c r="J936" i="2"/>
  <c r="J934" i="2"/>
  <c r="J933" i="2"/>
  <c r="J932" i="2"/>
  <c r="J931" i="2"/>
  <c r="J925" i="2"/>
  <c r="J924" i="2"/>
  <c r="J923" i="2"/>
  <c r="J922" i="2"/>
  <c r="J921" i="2"/>
  <c r="J920" i="2"/>
  <c r="J919" i="2"/>
  <c r="J918" i="2"/>
  <c r="J917" i="2"/>
  <c r="J916" i="2"/>
  <c r="J915" i="2"/>
  <c r="J1360" i="2"/>
  <c r="E455" i="1" s="1"/>
  <c r="J455" i="1" s="1"/>
  <c r="J1356" i="2"/>
  <c r="J1357" i="2" s="1"/>
  <c r="E454" i="1" s="1"/>
  <c r="J454" i="1" s="1"/>
  <c r="J1353" i="2"/>
  <c r="J1354" i="2" s="1"/>
  <c r="E453" i="1" s="1"/>
  <c r="J453" i="1" s="1"/>
  <c r="J1350" i="2"/>
  <c r="J1351" i="2" s="1"/>
  <c r="E452" i="1" s="1"/>
  <c r="J452" i="1" s="1"/>
  <c r="E1352" i="2"/>
  <c r="E1355" i="2"/>
  <c r="E1358" i="2"/>
  <c r="E1349" i="2"/>
  <c r="A1352" i="2"/>
  <c r="B1352" i="2"/>
  <c r="C1352" i="2"/>
  <c r="D1352" i="2"/>
  <c r="A1355" i="2"/>
  <c r="B1355" i="2"/>
  <c r="C1355" i="2"/>
  <c r="D1355" i="2"/>
  <c r="A1358" i="2"/>
  <c r="B1358" i="2"/>
  <c r="C1358" i="2"/>
  <c r="D1358" i="2"/>
  <c r="B1349" i="2"/>
  <c r="C1349" i="2"/>
  <c r="D1349" i="2"/>
  <c r="A1349" i="2"/>
  <c r="J201" i="2"/>
  <c r="J200" i="2"/>
  <c r="J199" i="2"/>
  <c r="J188" i="2"/>
  <c r="J158" i="2"/>
  <c r="J157" i="2"/>
  <c r="J156" i="2"/>
  <c r="J1507" i="2" l="1"/>
  <c r="K456" i="1"/>
  <c r="J930" i="2"/>
  <c r="J1380" i="2"/>
  <c r="J1468" i="2"/>
  <c r="J1420" i="2"/>
  <c r="J1425" i="2"/>
  <c r="J1440" i="2"/>
  <c r="J1464" i="2"/>
  <c r="J1475" i="2"/>
  <c r="J1433" i="2"/>
  <c r="J1429" i="2"/>
  <c r="J1391" i="2"/>
  <c r="J1455" i="2"/>
  <c r="J947" i="2"/>
  <c r="J935" i="2"/>
  <c r="J940" i="2"/>
  <c r="J1460" i="2"/>
  <c r="J178" i="2"/>
  <c r="B177" i="2"/>
  <c r="C177" i="2"/>
  <c r="D177" i="2"/>
  <c r="A177" i="2"/>
  <c r="E177" i="2"/>
  <c r="J1345" i="2"/>
  <c r="J1344" i="2"/>
  <c r="J1334" i="2"/>
  <c r="J1335" i="2"/>
  <c r="J1336" i="2"/>
  <c r="J1337" i="2"/>
  <c r="J1338" i="2"/>
  <c r="J1339" i="2"/>
  <c r="J1340" i="2"/>
  <c r="J1341" i="2"/>
  <c r="J1333" i="2"/>
  <c r="J1323" i="2"/>
  <c r="J1324" i="2"/>
  <c r="J1325" i="2"/>
  <c r="J1326" i="2"/>
  <c r="J1327" i="2"/>
  <c r="J1328" i="2"/>
  <c r="J1329" i="2"/>
  <c r="J1330" i="2"/>
  <c r="J1322" i="2"/>
  <c r="J1319" i="2"/>
  <c r="J1318" i="2"/>
  <c r="E1321" i="2"/>
  <c r="E1332" i="2"/>
  <c r="E1343" i="2"/>
  <c r="E1317" i="2"/>
  <c r="A1321" i="2"/>
  <c r="B1321" i="2"/>
  <c r="C1321" i="2"/>
  <c r="D1321" i="2"/>
  <c r="A1332" i="2"/>
  <c r="B1332" i="2"/>
  <c r="C1332" i="2"/>
  <c r="D1332" i="2"/>
  <c r="A1343" i="2"/>
  <c r="B1343" i="2"/>
  <c r="C1343" i="2"/>
  <c r="D1343" i="2"/>
  <c r="B1317" i="2"/>
  <c r="C1317" i="2"/>
  <c r="D1317" i="2"/>
  <c r="A1317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066" i="2"/>
  <c r="J1062" i="2"/>
  <c r="J1061" i="2"/>
  <c r="J1060" i="2"/>
  <c r="J1063" i="2"/>
  <c r="E1065" i="2"/>
  <c r="E1059" i="2"/>
  <c r="A1065" i="2"/>
  <c r="B1065" i="2"/>
  <c r="C1065" i="2"/>
  <c r="D1065" i="2"/>
  <c r="B1059" i="2"/>
  <c r="C1059" i="2"/>
  <c r="D1059" i="2"/>
  <c r="A1059" i="2"/>
  <c r="J905" i="2"/>
  <c r="J906" i="2"/>
  <c r="J907" i="2"/>
  <c r="J908" i="2"/>
  <c r="J909" i="2"/>
  <c r="J904" i="2"/>
  <c r="E903" i="2"/>
  <c r="B903" i="2"/>
  <c r="C903" i="2"/>
  <c r="D903" i="2"/>
  <c r="A903" i="2"/>
  <c r="E900" i="2"/>
  <c r="B900" i="2"/>
  <c r="C900" i="2"/>
  <c r="D900" i="2"/>
  <c r="A900" i="2"/>
  <c r="J1130" i="2" l="1"/>
  <c r="E433" i="1" s="1"/>
  <c r="J433" i="1" s="1"/>
  <c r="J1064" i="2"/>
  <c r="J1395" i="2"/>
  <c r="E460" i="1" s="1"/>
  <c r="J460" i="1" s="1"/>
  <c r="F1476" i="2"/>
  <c r="J1476" i="2" s="1"/>
  <c r="E465" i="1"/>
  <c r="J465" i="1" s="1"/>
  <c r="J180" i="2"/>
  <c r="E56" i="1" s="1"/>
  <c r="J56" i="1" s="1"/>
  <c r="E62" i="1"/>
  <c r="J62" i="1" s="1"/>
  <c r="J1346" i="2"/>
  <c r="E448" i="1" s="1"/>
  <c r="J448" i="1" s="1"/>
  <c r="J1331" i="2"/>
  <c r="E446" i="1" s="1"/>
  <c r="J446" i="1" s="1"/>
  <c r="J1342" i="2"/>
  <c r="E447" i="1" s="1"/>
  <c r="J447" i="1" s="1"/>
  <c r="J1320" i="2"/>
  <c r="E445" i="1" s="1"/>
  <c r="J445" i="1" s="1"/>
  <c r="K449" i="1" l="1"/>
  <c r="E432" i="1"/>
  <c r="J432" i="1" s="1"/>
  <c r="K434" i="1" s="1"/>
  <c r="F1478" i="2"/>
  <c r="J1478" i="2" s="1"/>
  <c r="J1042" i="2" l="1"/>
  <c r="J1047" i="2"/>
  <c r="J1039" i="2"/>
  <c r="J1036" i="2"/>
  <c r="J1030" i="2"/>
  <c r="J1016" i="2"/>
  <c r="J1010" i="2"/>
  <c r="J1004" i="2"/>
  <c r="J1001" i="2"/>
  <c r="J995" i="2"/>
  <c r="J992" i="2"/>
  <c r="J989" i="2"/>
  <c r="J986" i="2"/>
  <c r="J983" i="2"/>
  <c r="J980" i="2"/>
  <c r="J715" i="2"/>
  <c r="J717" i="2" s="1"/>
  <c r="J695" i="2"/>
  <c r="F1547" i="2"/>
  <c r="J1547" i="2" s="1"/>
  <c r="J593" i="2"/>
  <c r="J580" i="2"/>
  <c r="J893" i="2"/>
  <c r="J892" i="2"/>
  <c r="J890" i="2"/>
  <c r="J889" i="2"/>
  <c r="J888" i="2"/>
  <c r="J887" i="2"/>
  <c r="J875" i="2"/>
  <c r="J876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55" i="2"/>
  <c r="J851" i="2"/>
  <c r="J852" i="2"/>
  <c r="J850" i="2"/>
  <c r="J842" i="2"/>
  <c r="J839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40" i="2"/>
  <c r="J841" i="2"/>
  <c r="J822" i="2"/>
  <c r="J810" i="2"/>
  <c r="J811" i="2"/>
  <c r="J812" i="2"/>
  <c r="J813" i="2"/>
  <c r="J814" i="2"/>
  <c r="J815" i="2"/>
  <c r="J816" i="2"/>
  <c r="J817" i="2"/>
  <c r="J818" i="2"/>
  <c r="J819" i="2"/>
  <c r="J820" i="2"/>
  <c r="J804" i="2"/>
  <c r="J801" i="2"/>
  <c r="J802" i="2"/>
  <c r="J803" i="2"/>
  <c r="J805" i="2"/>
  <c r="J806" i="2"/>
  <c r="J800" i="2"/>
  <c r="J796" i="2"/>
  <c r="J793" i="2"/>
  <c r="J792" i="2"/>
  <c r="J789" i="2"/>
  <c r="J790" i="2"/>
  <c r="J791" i="2"/>
  <c r="J788" i="2"/>
  <c r="E885" i="2"/>
  <c r="B885" i="2"/>
  <c r="C885" i="2"/>
  <c r="D885" i="2"/>
  <c r="A885" i="2"/>
  <c r="E882" i="2"/>
  <c r="B882" i="2"/>
  <c r="C882" i="2"/>
  <c r="D882" i="2"/>
  <c r="A882" i="2"/>
  <c r="E873" i="2"/>
  <c r="B873" i="2"/>
  <c r="C873" i="2"/>
  <c r="D873" i="2"/>
  <c r="A873" i="2"/>
  <c r="E854" i="2"/>
  <c r="B854" i="2"/>
  <c r="C854" i="2"/>
  <c r="D854" i="2"/>
  <c r="A854" i="2"/>
  <c r="E847" i="2"/>
  <c r="B847" i="2"/>
  <c r="C847" i="2"/>
  <c r="D847" i="2"/>
  <c r="A847" i="2"/>
  <c r="E844" i="2"/>
  <c r="B844" i="2"/>
  <c r="C844" i="2"/>
  <c r="D844" i="2"/>
  <c r="A844" i="2"/>
  <c r="E808" i="2"/>
  <c r="B808" i="2"/>
  <c r="C808" i="2"/>
  <c r="D808" i="2"/>
  <c r="A808" i="2"/>
  <c r="E798" i="2"/>
  <c r="B798" i="2"/>
  <c r="C798" i="2"/>
  <c r="D798" i="2"/>
  <c r="A798" i="2"/>
  <c r="E787" i="2"/>
  <c r="B787" i="2"/>
  <c r="C787" i="2"/>
  <c r="D787" i="2"/>
  <c r="A787" i="2"/>
  <c r="J891" i="2"/>
  <c r="J886" i="2"/>
  <c r="J883" i="2"/>
  <c r="J884" i="2" s="1"/>
  <c r="J874" i="2"/>
  <c r="J849" i="2"/>
  <c r="J848" i="2"/>
  <c r="J845" i="2"/>
  <c r="J821" i="2"/>
  <c r="J809" i="2"/>
  <c r="J799" i="2"/>
  <c r="J795" i="2"/>
  <c r="J794" i="2"/>
  <c r="E781" i="2"/>
  <c r="B781" i="2"/>
  <c r="C781" i="2"/>
  <c r="D781" i="2"/>
  <c r="A781" i="2"/>
  <c r="E724" i="2"/>
  <c r="B724" i="2"/>
  <c r="C724" i="2"/>
  <c r="D724" i="2"/>
  <c r="A724" i="2"/>
  <c r="J783" i="2"/>
  <c r="J782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846" i="2" l="1"/>
  <c r="E408" i="1" s="1"/>
  <c r="J408" i="1" s="1"/>
  <c r="F1484" i="2"/>
  <c r="J1484" i="2" s="1"/>
  <c r="J872" i="2"/>
  <c r="J784" i="2"/>
  <c r="E401" i="1" s="1"/>
  <c r="J401" i="1" s="1"/>
  <c r="E413" i="1"/>
  <c r="J413" i="1" s="1"/>
  <c r="F1488" i="2"/>
  <c r="J1488" i="2" s="1"/>
  <c r="J843" i="2"/>
  <c r="J894" i="2"/>
  <c r="J797" i="2"/>
  <c r="J807" i="2"/>
  <c r="F1482" i="2" s="1"/>
  <c r="J1482" i="2" s="1"/>
  <c r="J853" i="2"/>
  <c r="J877" i="2"/>
  <c r="J780" i="2"/>
  <c r="E400" i="1" s="1"/>
  <c r="J400" i="1" s="1"/>
  <c r="K402" i="1" l="1"/>
  <c r="F1487" i="2"/>
  <c r="J1487" i="2" s="1"/>
  <c r="F910" i="2"/>
  <c r="J910" i="2" s="1"/>
  <c r="J911" i="2" s="1"/>
  <c r="E420" i="1" s="1"/>
  <c r="J420" i="1" s="1"/>
  <c r="E409" i="1"/>
  <c r="J409" i="1" s="1"/>
  <c r="F1485" i="2"/>
  <c r="J1485" i="2" s="1"/>
  <c r="E407" i="1"/>
  <c r="J407" i="1" s="1"/>
  <c r="F1483" i="2"/>
  <c r="J1483" i="2" s="1"/>
  <c r="E405" i="1"/>
  <c r="J405" i="1" s="1"/>
  <c r="F1481" i="2"/>
  <c r="J1481" i="2" s="1"/>
  <c r="E410" i="1"/>
  <c r="J410" i="1" s="1"/>
  <c r="F1486" i="2"/>
  <c r="J1486" i="2" s="1"/>
  <c r="E414" i="1"/>
  <c r="J414" i="1" s="1"/>
  <c r="F1490" i="2"/>
  <c r="J1490" i="2" s="1"/>
  <c r="E411" i="1"/>
  <c r="J411" i="1" s="1"/>
  <c r="E406" i="1"/>
  <c r="J406" i="1" s="1"/>
  <c r="F901" i="2"/>
  <c r="J901" i="2" s="1"/>
  <c r="J902" i="2" s="1"/>
  <c r="E419" i="1" s="1"/>
  <c r="J419" i="1" s="1"/>
  <c r="K421" i="1" l="1"/>
  <c r="K416" i="1"/>
  <c r="J1492" i="2"/>
  <c r="E464" i="1" s="1"/>
  <c r="J464" i="1" s="1"/>
  <c r="J965" i="2"/>
  <c r="J964" i="2"/>
  <c r="J963" i="2"/>
  <c r="J1055" i="2"/>
  <c r="J1054" i="2"/>
  <c r="J1053" i="2"/>
  <c r="J1052" i="2"/>
  <c r="J1051" i="2"/>
  <c r="J1050" i="2"/>
  <c r="J1049" i="2"/>
  <c r="J1045" i="2"/>
  <c r="J1044" i="2"/>
  <c r="J1041" i="2"/>
  <c r="J1038" i="2"/>
  <c r="J1035" i="2"/>
  <c r="J1034" i="2"/>
  <c r="J1033" i="2"/>
  <c r="J1032" i="2"/>
  <c r="J1029" i="2"/>
  <c r="J1028" i="2"/>
  <c r="J1027" i="2"/>
  <c r="J1026" i="2"/>
  <c r="J1025" i="2"/>
  <c r="J1024" i="2"/>
  <c r="J1023" i="2"/>
  <c r="J1021" i="2"/>
  <c r="J1019" i="2"/>
  <c r="J1018" i="2"/>
  <c r="J1015" i="2"/>
  <c r="J1013" i="2"/>
  <c r="J1012" i="2"/>
  <c r="J1009" i="2"/>
  <c r="J1007" i="2"/>
  <c r="J1006" i="2"/>
  <c r="J1005" i="2"/>
  <c r="J1003" i="2"/>
  <c r="J1000" i="2"/>
  <c r="J999" i="2"/>
  <c r="J998" i="2"/>
  <c r="J997" i="2"/>
  <c r="J994" i="2"/>
  <c r="J990" i="2"/>
  <c r="J991" i="2"/>
  <c r="J988" i="2"/>
  <c r="J987" i="2"/>
  <c r="J985" i="2"/>
  <c r="J984" i="2"/>
  <c r="J973" i="2"/>
  <c r="J976" i="2"/>
  <c r="J979" i="2"/>
  <c r="J982" i="2"/>
  <c r="J977" i="2"/>
  <c r="J974" i="2"/>
  <c r="J971" i="2"/>
  <c r="J1048" i="2"/>
  <c r="J1046" i="2"/>
  <c r="J1043" i="2"/>
  <c r="J1040" i="2"/>
  <c r="J1037" i="2"/>
  <c r="J1031" i="2"/>
  <c r="J1022" i="2"/>
  <c r="J1020" i="2"/>
  <c r="J1017" i="2"/>
  <c r="J1014" i="2"/>
  <c r="J1011" i="2"/>
  <c r="J1008" i="2"/>
  <c r="J1002" i="2"/>
  <c r="J996" i="2"/>
  <c r="J993" i="2"/>
  <c r="J981" i="2"/>
  <c r="J978" i="2"/>
  <c r="J975" i="2"/>
  <c r="J972" i="2"/>
  <c r="J970" i="2"/>
  <c r="J969" i="2"/>
  <c r="J968" i="2"/>
  <c r="J956" i="2"/>
  <c r="J955" i="2"/>
  <c r="J954" i="2"/>
  <c r="J949" i="2"/>
  <c r="J950" i="2"/>
  <c r="J948" i="2"/>
  <c r="J951" i="2" l="1"/>
  <c r="J952" i="2" s="1"/>
  <c r="J1056" i="2"/>
  <c r="J966" i="2"/>
  <c r="E427" i="1" s="1"/>
  <c r="J427" i="1" s="1"/>
  <c r="E953" i="2"/>
  <c r="E959" i="2"/>
  <c r="E962" i="2"/>
  <c r="E967" i="2"/>
  <c r="E914" i="2"/>
  <c r="A953" i="2"/>
  <c r="B953" i="2"/>
  <c r="C953" i="2"/>
  <c r="D953" i="2"/>
  <c r="A959" i="2"/>
  <c r="B959" i="2"/>
  <c r="C959" i="2"/>
  <c r="D959" i="2"/>
  <c r="A962" i="2"/>
  <c r="B962" i="2"/>
  <c r="C962" i="2"/>
  <c r="D962" i="2"/>
  <c r="A967" i="2"/>
  <c r="B967" i="2"/>
  <c r="C967" i="2"/>
  <c r="D967" i="2"/>
  <c r="B914" i="2"/>
  <c r="C914" i="2"/>
  <c r="D914" i="2"/>
  <c r="A914" i="2"/>
  <c r="E428" i="1" l="1"/>
  <c r="J428" i="1" s="1"/>
  <c r="F1477" i="2"/>
  <c r="F957" i="2"/>
  <c r="J957" i="2" s="1"/>
  <c r="J958" i="2" s="1"/>
  <c r="E425" i="1" s="1"/>
  <c r="J425" i="1" s="1"/>
  <c r="J719" i="2"/>
  <c r="E174" i="2"/>
  <c r="B174" i="2"/>
  <c r="C174" i="2"/>
  <c r="D174" i="2"/>
  <c r="A174" i="2"/>
  <c r="J175" i="2"/>
  <c r="J176" i="2" s="1"/>
  <c r="E55" i="1" s="1"/>
  <c r="J55" i="1" s="1"/>
  <c r="J711" i="2"/>
  <c r="J713" i="2" s="1"/>
  <c r="J708" i="2"/>
  <c r="J709" i="2" s="1"/>
  <c r="E393" i="1" s="1"/>
  <c r="J393" i="1" s="1"/>
  <c r="J703" i="2"/>
  <c r="J696" i="2"/>
  <c r="E390" i="1" s="1"/>
  <c r="J390" i="1" s="1"/>
  <c r="J699" i="2"/>
  <c r="J700" i="2"/>
  <c r="J698" i="2"/>
  <c r="J594" i="2"/>
  <c r="E707" i="2"/>
  <c r="D707" i="2"/>
  <c r="C707" i="2"/>
  <c r="B707" i="2"/>
  <c r="A707" i="2"/>
  <c r="J692" i="2"/>
  <c r="J693" i="2" s="1"/>
  <c r="E389" i="1" s="1"/>
  <c r="J389" i="1" s="1"/>
  <c r="E691" i="2"/>
  <c r="E694" i="2"/>
  <c r="E697" i="2"/>
  <c r="E702" i="2"/>
  <c r="E710" i="2"/>
  <c r="E714" i="2"/>
  <c r="E718" i="2"/>
  <c r="E688" i="2"/>
  <c r="A718" i="2"/>
  <c r="B718" i="2"/>
  <c r="C718" i="2"/>
  <c r="D718" i="2"/>
  <c r="A691" i="2"/>
  <c r="B691" i="2"/>
  <c r="C691" i="2"/>
  <c r="D691" i="2"/>
  <c r="A694" i="2"/>
  <c r="B694" i="2"/>
  <c r="C694" i="2"/>
  <c r="D694" i="2"/>
  <c r="A697" i="2"/>
  <c r="B697" i="2"/>
  <c r="C697" i="2"/>
  <c r="D697" i="2"/>
  <c r="A702" i="2"/>
  <c r="B702" i="2"/>
  <c r="C702" i="2"/>
  <c r="D702" i="2"/>
  <c r="A710" i="2"/>
  <c r="B710" i="2"/>
  <c r="C710" i="2"/>
  <c r="D710" i="2"/>
  <c r="A714" i="2"/>
  <c r="B714" i="2"/>
  <c r="C714" i="2"/>
  <c r="D714" i="2"/>
  <c r="B688" i="2"/>
  <c r="C688" i="2"/>
  <c r="D688" i="2"/>
  <c r="A688" i="2"/>
  <c r="E672" i="2"/>
  <c r="B672" i="2"/>
  <c r="C672" i="2"/>
  <c r="D672" i="2"/>
  <c r="A672" i="2"/>
  <c r="J706" i="2" l="1"/>
  <c r="E392" i="1" s="1"/>
  <c r="J392" i="1" s="1"/>
  <c r="E59" i="1"/>
  <c r="J59" i="1" s="1"/>
  <c r="J721" i="2"/>
  <c r="E396" i="1" s="1"/>
  <c r="J396" i="1" s="1"/>
  <c r="J1477" i="2"/>
  <c r="J1479" i="2" s="1"/>
  <c r="E463" i="1" s="1"/>
  <c r="J463" i="1" s="1"/>
  <c r="F1441" i="2"/>
  <c r="J1441" i="2" s="1"/>
  <c r="E395" i="1"/>
  <c r="J395" i="1" s="1"/>
  <c r="J701" i="2"/>
  <c r="E391" i="1" s="1"/>
  <c r="J391" i="1" s="1"/>
  <c r="E394" i="1"/>
  <c r="J394" i="1" s="1"/>
  <c r="E667" i="2"/>
  <c r="B667" i="2"/>
  <c r="C667" i="2"/>
  <c r="D667" i="2"/>
  <c r="A667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38" i="2"/>
  <c r="J629" i="2"/>
  <c r="J628" i="2"/>
  <c r="J172" i="2"/>
  <c r="J173" i="2" s="1"/>
  <c r="E54" i="1" s="1"/>
  <c r="J54" i="1" s="1"/>
  <c r="J169" i="2"/>
  <c r="J168" i="2"/>
  <c r="J165" i="2"/>
  <c r="J166" i="2" s="1"/>
  <c r="E52" i="1" s="1"/>
  <c r="J52" i="1" s="1"/>
  <c r="J198" i="2"/>
  <c r="J197" i="2"/>
  <c r="J196" i="2"/>
  <c r="J195" i="2"/>
  <c r="J194" i="2"/>
  <c r="J193" i="2"/>
  <c r="J183" i="2"/>
  <c r="J182" i="2"/>
  <c r="F187" i="2"/>
  <c r="J187" i="2" s="1"/>
  <c r="F186" i="2"/>
  <c r="J186" i="2" s="1"/>
  <c r="F185" i="2"/>
  <c r="J185" i="2" s="1"/>
  <c r="F184" i="2"/>
  <c r="J184" i="2" s="1"/>
  <c r="J155" i="2"/>
  <c r="J154" i="2"/>
  <c r="J153" i="2"/>
  <c r="J152" i="2"/>
  <c r="J151" i="2"/>
  <c r="J150" i="2"/>
  <c r="J148" i="2"/>
  <c r="J162" i="2"/>
  <c r="J161" i="2"/>
  <c r="E164" i="2"/>
  <c r="B164" i="2"/>
  <c r="C164" i="2"/>
  <c r="D164" i="2"/>
  <c r="A164" i="2"/>
  <c r="J635" i="2"/>
  <c r="J634" i="2"/>
  <c r="E633" i="2"/>
  <c r="E637" i="2"/>
  <c r="E627" i="2"/>
  <c r="A633" i="2"/>
  <c r="B633" i="2"/>
  <c r="C633" i="2"/>
  <c r="D633" i="2"/>
  <c r="A637" i="2"/>
  <c r="B637" i="2"/>
  <c r="C637" i="2"/>
  <c r="D637" i="2"/>
  <c r="B627" i="2"/>
  <c r="C627" i="2"/>
  <c r="D627" i="2"/>
  <c r="A627" i="2"/>
  <c r="J149" i="2"/>
  <c r="J145" i="2"/>
  <c r="J146" i="2"/>
  <c r="J147" i="2"/>
  <c r="J144" i="2"/>
  <c r="J618" i="2"/>
  <c r="J615" i="2"/>
  <c r="J614" i="2"/>
  <c r="J612" i="2"/>
  <c r="J611" i="2"/>
  <c r="E143" i="2"/>
  <c r="E160" i="2"/>
  <c r="E167" i="2"/>
  <c r="E171" i="2"/>
  <c r="E181" i="2"/>
  <c r="E192" i="2"/>
  <c r="E203" i="2"/>
  <c r="E130" i="2"/>
  <c r="D143" i="2"/>
  <c r="D160" i="2"/>
  <c r="D167" i="2"/>
  <c r="D171" i="2"/>
  <c r="D181" i="2"/>
  <c r="D192" i="2"/>
  <c r="D203" i="2"/>
  <c r="C143" i="2"/>
  <c r="C160" i="2"/>
  <c r="C167" i="2"/>
  <c r="C171" i="2"/>
  <c r="C181" i="2"/>
  <c r="C192" i="2"/>
  <c r="C203" i="2"/>
  <c r="B143" i="2"/>
  <c r="B160" i="2"/>
  <c r="B167" i="2"/>
  <c r="B171" i="2"/>
  <c r="B181" i="2"/>
  <c r="B192" i="2"/>
  <c r="B203" i="2"/>
  <c r="A203" i="2"/>
  <c r="A143" i="2"/>
  <c r="A160" i="2"/>
  <c r="A167" i="2"/>
  <c r="A171" i="2"/>
  <c r="A181" i="2"/>
  <c r="A192" i="2"/>
  <c r="B130" i="2"/>
  <c r="C130" i="2"/>
  <c r="D130" i="2"/>
  <c r="A130" i="2"/>
  <c r="E80" i="2"/>
  <c r="B80" i="2"/>
  <c r="C80" i="2"/>
  <c r="D80" i="2"/>
  <c r="A80" i="2"/>
  <c r="J159" i="2" l="1"/>
  <c r="J1442" i="2"/>
  <c r="E462" i="1" s="1"/>
  <c r="J462" i="1" s="1"/>
  <c r="K471" i="1" s="1"/>
  <c r="J661" i="2"/>
  <c r="E372" i="1" s="1"/>
  <c r="J372" i="1" s="1"/>
  <c r="J632" i="2"/>
  <c r="E370" i="1" s="1"/>
  <c r="J370" i="1" s="1"/>
  <c r="J191" i="2"/>
  <c r="E57" i="1" s="1"/>
  <c r="J57" i="1" s="1"/>
  <c r="J202" i="2"/>
  <c r="E58" i="1" s="1"/>
  <c r="J58" i="1" s="1"/>
  <c r="J170" i="2"/>
  <c r="E53" i="1" s="1"/>
  <c r="J53" i="1" s="1"/>
  <c r="J163" i="2"/>
  <c r="E51" i="1" s="1"/>
  <c r="J51" i="1" s="1"/>
  <c r="J636" i="2"/>
  <c r="E371" i="1" s="1"/>
  <c r="J371" i="1" s="1"/>
  <c r="E49" i="1"/>
  <c r="J49" i="1" s="1"/>
  <c r="J102" i="2"/>
  <c r="J103" i="2" s="1"/>
  <c r="E40" i="1" s="1"/>
  <c r="J40" i="1" s="1"/>
  <c r="E101" i="2"/>
  <c r="B101" i="2"/>
  <c r="C101" i="2"/>
  <c r="D101" i="2"/>
  <c r="A101" i="2"/>
  <c r="J114" i="2"/>
  <c r="J126" i="2"/>
  <c r="J125" i="2"/>
  <c r="J122" i="2"/>
  <c r="J121" i="2"/>
  <c r="J118" i="2"/>
  <c r="J117" i="2"/>
  <c r="E124" i="2"/>
  <c r="B124" i="2"/>
  <c r="C124" i="2"/>
  <c r="D124" i="2"/>
  <c r="A124" i="2"/>
  <c r="E120" i="2"/>
  <c r="B120" i="2"/>
  <c r="C120" i="2"/>
  <c r="D120" i="2"/>
  <c r="A120" i="2"/>
  <c r="J113" i="2"/>
  <c r="J112" i="2"/>
  <c r="J111" i="2"/>
  <c r="J105" i="2"/>
  <c r="J98" i="2"/>
  <c r="J99" i="2"/>
  <c r="J97" i="2"/>
  <c r="J93" i="2"/>
  <c r="J94" i="2"/>
  <c r="J92" i="2"/>
  <c r="J620" i="2"/>
  <c r="J619" i="2"/>
  <c r="J617" i="2"/>
  <c r="J616" i="2"/>
  <c r="J613" i="2"/>
  <c r="J623" i="2"/>
  <c r="J624" i="2" s="1"/>
  <c r="E366" i="1" s="1"/>
  <c r="J366" i="1" s="1"/>
  <c r="J601" i="2"/>
  <c r="J95" i="2" l="1"/>
  <c r="E38" i="1" s="1"/>
  <c r="J38" i="1" s="1"/>
  <c r="K374" i="1"/>
  <c r="E50" i="1"/>
  <c r="J50" i="1" s="1"/>
  <c r="K63" i="1" s="1"/>
  <c r="J109" i="2"/>
  <c r="E41" i="1" s="1"/>
  <c r="J41" i="1" s="1"/>
  <c r="J115" i="2"/>
  <c r="E42" i="1" s="1"/>
  <c r="J42" i="1" s="1"/>
  <c r="J119" i="2"/>
  <c r="E43" i="1" s="1"/>
  <c r="J43" i="1" s="1"/>
  <c r="J123" i="2"/>
  <c r="E44" i="1" s="1"/>
  <c r="J44" i="1" s="1"/>
  <c r="J127" i="2"/>
  <c r="E45" i="1" s="1"/>
  <c r="J45" i="1" s="1"/>
  <c r="J100" i="2"/>
  <c r="E39" i="1" s="1"/>
  <c r="J39" i="1" s="1"/>
  <c r="J621" i="2"/>
  <c r="E365" i="1" s="1"/>
  <c r="J365" i="1" s="1"/>
  <c r="J602" i="2" l="1"/>
  <c r="J600" i="2"/>
  <c r="J599" i="2"/>
  <c r="J596" i="2"/>
  <c r="J595" i="2"/>
  <c r="J587" i="2"/>
  <c r="J586" i="2"/>
  <c r="J585" i="2"/>
  <c r="J584" i="2"/>
  <c r="J583" i="2"/>
  <c r="J582" i="2"/>
  <c r="J589" i="2"/>
  <c r="J590" i="2"/>
  <c r="J588" i="2"/>
  <c r="J581" i="2"/>
  <c r="J608" i="2"/>
  <c r="J607" i="2" l="1"/>
  <c r="J606" i="2"/>
  <c r="J604" i="2"/>
  <c r="J603" i="2"/>
  <c r="J605" i="2"/>
  <c r="E610" i="2"/>
  <c r="E622" i="2"/>
  <c r="E579" i="2"/>
  <c r="A610" i="2"/>
  <c r="B610" i="2"/>
  <c r="C610" i="2"/>
  <c r="D610" i="2"/>
  <c r="A622" i="2"/>
  <c r="B622" i="2"/>
  <c r="C622" i="2"/>
  <c r="D622" i="2"/>
  <c r="B579" i="2"/>
  <c r="C579" i="2"/>
  <c r="D579" i="2"/>
  <c r="A579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B561" i="2"/>
  <c r="A560" i="2"/>
  <c r="D558" i="2"/>
  <c r="B558" i="2"/>
  <c r="C558" i="2"/>
  <c r="A558" i="2"/>
  <c r="A557" i="2"/>
  <c r="C285" i="2"/>
  <c r="D285" i="2"/>
  <c r="E285" i="2"/>
  <c r="C286" i="2"/>
  <c r="D286" i="2"/>
  <c r="E286" i="2"/>
  <c r="C287" i="2"/>
  <c r="D287" i="2"/>
  <c r="E287" i="2"/>
  <c r="C288" i="2"/>
  <c r="D288" i="2"/>
  <c r="E288" i="2"/>
  <c r="C289" i="2"/>
  <c r="D289" i="2"/>
  <c r="E289" i="2"/>
  <c r="C290" i="2"/>
  <c r="D290" i="2"/>
  <c r="E290" i="2"/>
  <c r="C291" i="2"/>
  <c r="D291" i="2"/>
  <c r="E291" i="2"/>
  <c r="C292" i="2"/>
  <c r="D292" i="2"/>
  <c r="E292" i="2"/>
  <c r="C293" i="2"/>
  <c r="D293" i="2"/>
  <c r="E293" i="2"/>
  <c r="C294" i="2"/>
  <c r="D294" i="2"/>
  <c r="E294" i="2"/>
  <c r="C295" i="2"/>
  <c r="D295" i="2"/>
  <c r="E295" i="2"/>
  <c r="C296" i="2"/>
  <c r="D296" i="2"/>
  <c r="E296" i="2"/>
  <c r="C297" i="2"/>
  <c r="D297" i="2"/>
  <c r="E297" i="2"/>
  <c r="C298" i="2"/>
  <c r="D298" i="2"/>
  <c r="E298" i="2"/>
  <c r="C299" i="2"/>
  <c r="D299" i="2"/>
  <c r="E299" i="2"/>
  <c r="C300" i="2"/>
  <c r="D300" i="2"/>
  <c r="E300" i="2"/>
  <c r="C301" i="2"/>
  <c r="D301" i="2"/>
  <c r="E301" i="2"/>
  <c r="C302" i="2"/>
  <c r="D302" i="2"/>
  <c r="E302" i="2"/>
  <c r="C303" i="2"/>
  <c r="D303" i="2"/>
  <c r="E303" i="2"/>
  <c r="C304" i="2"/>
  <c r="D304" i="2"/>
  <c r="E304" i="2"/>
  <c r="C305" i="2"/>
  <c r="D305" i="2"/>
  <c r="E305" i="2"/>
  <c r="C306" i="2"/>
  <c r="D306" i="2"/>
  <c r="E306" i="2"/>
  <c r="C307" i="2"/>
  <c r="D307" i="2"/>
  <c r="E307" i="2"/>
  <c r="C308" i="2"/>
  <c r="D308" i="2"/>
  <c r="E308" i="2"/>
  <c r="C309" i="2"/>
  <c r="D309" i="2"/>
  <c r="E309" i="2"/>
  <c r="C310" i="2"/>
  <c r="D310" i="2"/>
  <c r="E310" i="2"/>
  <c r="C311" i="2"/>
  <c r="D311" i="2"/>
  <c r="E311" i="2"/>
  <c r="C312" i="2"/>
  <c r="D312" i="2"/>
  <c r="E312" i="2"/>
  <c r="C313" i="2"/>
  <c r="D313" i="2"/>
  <c r="E313" i="2"/>
  <c r="C314" i="2"/>
  <c r="D314" i="2"/>
  <c r="E314" i="2"/>
  <c r="C315" i="2"/>
  <c r="D315" i="2"/>
  <c r="E315" i="2"/>
  <c r="C316" i="2"/>
  <c r="D316" i="2"/>
  <c r="E316" i="2"/>
  <c r="C317" i="2"/>
  <c r="D317" i="2"/>
  <c r="E317" i="2"/>
  <c r="C318" i="2"/>
  <c r="D318" i="2"/>
  <c r="E318" i="2"/>
  <c r="C319" i="2"/>
  <c r="D319" i="2"/>
  <c r="E319" i="2"/>
  <c r="C320" i="2"/>
  <c r="D320" i="2"/>
  <c r="E320" i="2"/>
  <c r="C321" i="2"/>
  <c r="D321" i="2"/>
  <c r="E321" i="2"/>
  <c r="C322" i="2"/>
  <c r="D322" i="2"/>
  <c r="E322" i="2"/>
  <c r="C323" i="2"/>
  <c r="D323" i="2"/>
  <c r="E323" i="2"/>
  <c r="C324" i="2"/>
  <c r="D324" i="2"/>
  <c r="E324" i="2"/>
  <c r="C325" i="2"/>
  <c r="D325" i="2"/>
  <c r="E325" i="2"/>
  <c r="C326" i="2"/>
  <c r="D326" i="2"/>
  <c r="E326" i="2"/>
  <c r="C327" i="2"/>
  <c r="D327" i="2"/>
  <c r="E327" i="2"/>
  <c r="C328" i="2"/>
  <c r="D328" i="2"/>
  <c r="E328" i="2"/>
  <c r="C329" i="2"/>
  <c r="D329" i="2"/>
  <c r="E329" i="2"/>
  <c r="C330" i="2"/>
  <c r="D330" i="2"/>
  <c r="E330" i="2"/>
  <c r="C331" i="2"/>
  <c r="D331" i="2"/>
  <c r="E331" i="2"/>
  <c r="C332" i="2"/>
  <c r="D332" i="2"/>
  <c r="E332" i="2"/>
  <c r="C333" i="2"/>
  <c r="D333" i="2"/>
  <c r="E333" i="2"/>
  <c r="C334" i="2"/>
  <c r="D334" i="2"/>
  <c r="E334" i="2"/>
  <c r="C335" i="2"/>
  <c r="D335" i="2"/>
  <c r="E335" i="2"/>
  <c r="C336" i="2"/>
  <c r="D336" i="2"/>
  <c r="E336" i="2"/>
  <c r="C337" i="2"/>
  <c r="D337" i="2"/>
  <c r="E337" i="2"/>
  <c r="C338" i="2"/>
  <c r="D338" i="2"/>
  <c r="E338" i="2"/>
  <c r="C339" i="2"/>
  <c r="D339" i="2"/>
  <c r="E339" i="2"/>
  <c r="C340" i="2"/>
  <c r="D340" i="2"/>
  <c r="E340" i="2"/>
  <c r="C341" i="2"/>
  <c r="D341" i="2"/>
  <c r="E341" i="2"/>
  <c r="C342" i="2"/>
  <c r="D342" i="2"/>
  <c r="E342" i="2"/>
  <c r="C343" i="2"/>
  <c r="D343" i="2"/>
  <c r="E343" i="2"/>
  <c r="C344" i="2"/>
  <c r="D344" i="2"/>
  <c r="E344" i="2"/>
  <c r="C345" i="2"/>
  <c r="D345" i="2"/>
  <c r="E345" i="2"/>
  <c r="C346" i="2"/>
  <c r="D346" i="2"/>
  <c r="E346" i="2"/>
  <c r="C347" i="2"/>
  <c r="D347" i="2"/>
  <c r="E347" i="2"/>
  <c r="C348" i="2"/>
  <c r="D348" i="2"/>
  <c r="E348" i="2"/>
  <c r="C349" i="2"/>
  <c r="D349" i="2"/>
  <c r="E349" i="2"/>
  <c r="C350" i="2"/>
  <c r="D350" i="2"/>
  <c r="E350" i="2"/>
  <c r="C351" i="2"/>
  <c r="D351" i="2"/>
  <c r="E351" i="2"/>
  <c r="C352" i="2"/>
  <c r="D352" i="2"/>
  <c r="E352" i="2"/>
  <c r="C353" i="2"/>
  <c r="D353" i="2"/>
  <c r="E353" i="2"/>
  <c r="C354" i="2"/>
  <c r="D354" i="2"/>
  <c r="E354" i="2"/>
  <c r="C355" i="2"/>
  <c r="D355" i="2"/>
  <c r="E355" i="2"/>
  <c r="C356" i="2"/>
  <c r="D356" i="2"/>
  <c r="E356" i="2"/>
  <c r="C357" i="2"/>
  <c r="D357" i="2"/>
  <c r="E357" i="2"/>
  <c r="C358" i="2"/>
  <c r="D358" i="2"/>
  <c r="E358" i="2"/>
  <c r="C359" i="2"/>
  <c r="D359" i="2"/>
  <c r="E35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A353" i="2"/>
  <c r="A354" i="2"/>
  <c r="A355" i="2"/>
  <c r="A356" i="2"/>
  <c r="A357" i="2"/>
  <c r="A358" i="2"/>
  <c r="A359" i="2"/>
  <c r="A347" i="2"/>
  <c r="A348" i="2"/>
  <c r="A349" i="2"/>
  <c r="A350" i="2"/>
  <c r="A351" i="2"/>
  <c r="A352" i="2"/>
  <c r="A342" i="2"/>
  <c r="A343" i="2"/>
  <c r="A344" i="2"/>
  <c r="A345" i="2"/>
  <c r="A346" i="2"/>
  <c r="A336" i="2"/>
  <c r="A337" i="2"/>
  <c r="A338" i="2"/>
  <c r="A339" i="2"/>
  <c r="A340" i="2"/>
  <c r="A341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F284" i="2"/>
  <c r="E284" i="2"/>
  <c r="B284" i="2"/>
  <c r="C284" i="2"/>
  <c r="D284" i="2"/>
  <c r="A284" i="2"/>
  <c r="F365" i="2"/>
  <c r="E365" i="2"/>
  <c r="B363" i="2"/>
  <c r="C363" i="2"/>
  <c r="D363" i="2"/>
  <c r="A363" i="2"/>
  <c r="J609" i="2" l="1"/>
  <c r="E137" i="1"/>
  <c r="J137" i="1" s="1"/>
  <c r="E134" i="1"/>
  <c r="J134" i="1" s="1"/>
  <c r="E133" i="1"/>
  <c r="J133" i="1" s="1"/>
  <c r="F351" i="2" l="1"/>
  <c r="F352" i="2"/>
  <c r="F355" i="2"/>
  <c r="E364" i="1"/>
  <c r="J364" i="1" s="1"/>
  <c r="K367" i="1" s="1"/>
  <c r="E270" i="1"/>
  <c r="E269" i="1"/>
  <c r="E268" i="1"/>
  <c r="E267" i="1"/>
  <c r="E303" i="1"/>
  <c r="E302" i="1"/>
  <c r="E279" i="1"/>
  <c r="E278" i="1"/>
  <c r="E277" i="1"/>
  <c r="E259" i="1"/>
  <c r="E258" i="1"/>
  <c r="F496" i="2" l="1"/>
  <c r="J279" i="1"/>
  <c r="F519" i="2"/>
  <c r="J302" i="1"/>
  <c r="F486" i="2"/>
  <c r="J269" i="1"/>
  <c r="F495" i="2"/>
  <c r="J278" i="1"/>
  <c r="F484" i="2"/>
  <c r="J267" i="1"/>
  <c r="F475" i="2"/>
  <c r="J258" i="1"/>
  <c r="F485" i="2"/>
  <c r="J268" i="1"/>
  <c r="F476" i="2"/>
  <c r="J259" i="1"/>
  <c r="F494" i="2"/>
  <c r="J277" i="1"/>
  <c r="F520" i="2"/>
  <c r="J303" i="1"/>
  <c r="F487" i="2"/>
  <c r="J270" i="1"/>
  <c r="E424" i="1"/>
  <c r="J424" i="1" s="1"/>
  <c r="F960" i="2"/>
  <c r="J960" i="2" s="1"/>
  <c r="J961" i="2" s="1"/>
  <c r="E426" i="1" s="1"/>
  <c r="J426" i="1" s="1"/>
  <c r="E84" i="1"/>
  <c r="J84" i="1" s="1"/>
  <c r="E82" i="1"/>
  <c r="J82" i="1" s="1"/>
  <c r="E69" i="1"/>
  <c r="J69" i="1" s="1"/>
  <c r="E67" i="1"/>
  <c r="J67" i="1" s="1"/>
  <c r="K143" i="1" l="1"/>
  <c r="K340" i="1"/>
  <c r="K429" i="1"/>
  <c r="F287" i="2"/>
  <c r="F300" i="2"/>
  <c r="F302" i="2"/>
  <c r="F285" i="2"/>
  <c r="J89" i="2"/>
  <c r="J90" i="2" s="1"/>
  <c r="E37" i="1" s="1"/>
  <c r="E91" i="2"/>
  <c r="E96" i="2"/>
  <c r="E104" i="2"/>
  <c r="E110" i="2"/>
  <c r="E116" i="2"/>
  <c r="D91" i="2"/>
  <c r="D96" i="2"/>
  <c r="D104" i="2"/>
  <c r="D110" i="2"/>
  <c r="D116" i="2"/>
  <c r="C91" i="2"/>
  <c r="C96" i="2"/>
  <c r="C104" i="2"/>
  <c r="C110" i="2"/>
  <c r="C116" i="2"/>
  <c r="B91" i="2"/>
  <c r="B96" i="2"/>
  <c r="B104" i="2"/>
  <c r="B110" i="2"/>
  <c r="B116" i="2"/>
  <c r="A91" i="2"/>
  <c r="A96" i="2"/>
  <c r="A104" i="2"/>
  <c r="A110" i="2"/>
  <c r="A116" i="2"/>
  <c r="E88" i="2"/>
  <c r="B88" i="2"/>
  <c r="C88" i="2"/>
  <c r="D88" i="2"/>
  <c r="A88" i="2"/>
  <c r="F83" i="2"/>
  <c r="F81" i="2"/>
  <c r="J70" i="2"/>
  <c r="J73" i="2" s="1"/>
  <c r="J64" i="2"/>
  <c r="J65" i="2" s="1"/>
  <c r="E29" i="1" s="1"/>
  <c r="J29" i="1" s="1"/>
  <c r="J62" i="2"/>
  <c r="E28" i="1" s="1"/>
  <c r="J28" i="1" s="1"/>
  <c r="J37" i="1" l="1"/>
  <c r="K46" i="1" s="1"/>
  <c r="E31" i="1"/>
  <c r="J31" i="1" s="1"/>
  <c r="F75" i="2"/>
  <c r="J75" i="2" s="1"/>
  <c r="J81" i="2"/>
  <c r="F77" i="2"/>
  <c r="J77" i="2" s="1"/>
  <c r="J83" i="2"/>
  <c r="B63" i="2"/>
  <c r="B69" i="2"/>
  <c r="B74" i="2"/>
  <c r="A63" i="2"/>
  <c r="A69" i="2"/>
  <c r="A74" i="2"/>
  <c r="E63" i="2"/>
  <c r="E69" i="2"/>
  <c r="E74" i="2"/>
  <c r="C63" i="2"/>
  <c r="C69" i="2"/>
  <c r="C74" i="2"/>
  <c r="D63" i="2"/>
  <c r="D69" i="2"/>
  <c r="D74" i="2"/>
  <c r="E60" i="2"/>
  <c r="B60" i="2"/>
  <c r="C60" i="2"/>
  <c r="D60" i="2"/>
  <c r="A60" i="2"/>
  <c r="E51" i="2"/>
  <c r="B51" i="2"/>
  <c r="D51" i="2"/>
  <c r="A51" i="2"/>
  <c r="J47" i="2"/>
  <c r="J48" i="2" s="1"/>
  <c r="E19" i="1" s="1"/>
  <c r="J19" i="1" s="1"/>
  <c r="J45" i="2"/>
  <c r="E18" i="1" s="1"/>
  <c r="J18" i="1" s="1"/>
  <c r="J42" i="2"/>
  <c r="E17" i="1" s="1"/>
  <c r="J17" i="1" s="1"/>
  <c r="J39" i="2"/>
  <c r="E16" i="1" s="1"/>
  <c r="J16" i="1" s="1"/>
  <c r="F34" i="2"/>
  <c r="F1548" i="2" s="1"/>
  <c r="J1548" i="2" s="1"/>
  <c r="J1549" i="2" s="1"/>
  <c r="E476" i="1" s="1"/>
  <c r="J476" i="1" s="1"/>
  <c r="K492" i="1" s="1"/>
  <c r="F32" i="2"/>
  <c r="J9" i="2"/>
  <c r="E7" i="1" s="1"/>
  <c r="J7" i="1" s="1"/>
  <c r="J12" i="2"/>
  <c r="E8" i="1" s="1"/>
  <c r="J8" i="1" s="1"/>
  <c r="J15" i="2"/>
  <c r="E9" i="1" s="1"/>
  <c r="J9" i="1" s="1"/>
  <c r="J27" i="2"/>
  <c r="E13" i="1" s="1"/>
  <c r="J13" i="1" s="1"/>
  <c r="A10" i="2"/>
  <c r="A13" i="2"/>
  <c r="A25" i="2"/>
  <c r="A28" i="2"/>
  <c r="A31" i="2"/>
  <c r="A37" i="2"/>
  <c r="A40" i="2"/>
  <c r="A43" i="2"/>
  <c r="A46" i="2"/>
  <c r="E10" i="2"/>
  <c r="E13" i="2"/>
  <c r="E25" i="2"/>
  <c r="E28" i="2"/>
  <c r="E31" i="2"/>
  <c r="E37" i="2"/>
  <c r="E40" i="2"/>
  <c r="E43" i="2"/>
  <c r="E46" i="2"/>
  <c r="D10" i="2"/>
  <c r="D13" i="2"/>
  <c r="D25" i="2"/>
  <c r="D28" i="2"/>
  <c r="D31" i="2"/>
  <c r="D37" i="2"/>
  <c r="D40" i="2"/>
  <c r="D43" i="2"/>
  <c r="D46" i="2"/>
  <c r="C10" i="2"/>
  <c r="C13" i="2"/>
  <c r="C25" i="2"/>
  <c r="C28" i="2"/>
  <c r="C31" i="2"/>
  <c r="C37" i="2"/>
  <c r="C40" i="2"/>
  <c r="C43" i="2"/>
  <c r="C46" i="2"/>
  <c r="B46" i="2"/>
  <c r="B10" i="2"/>
  <c r="B13" i="2"/>
  <c r="B25" i="2"/>
  <c r="B28" i="2"/>
  <c r="B31" i="2"/>
  <c r="B37" i="2"/>
  <c r="B40" i="2"/>
  <c r="B43" i="2"/>
  <c r="E7" i="2"/>
  <c r="B7" i="2"/>
  <c r="C7" i="2"/>
  <c r="D7" i="2"/>
  <c r="A7" i="2"/>
  <c r="J36" i="2" l="1"/>
  <c r="E15" i="1" s="1"/>
  <c r="J15" i="1" s="1"/>
  <c r="F52" i="2"/>
  <c r="J30" i="2"/>
  <c r="E14" i="1" s="1"/>
  <c r="J14" i="1" s="1"/>
  <c r="K20" i="1" l="1"/>
  <c r="J52" i="2"/>
  <c r="J54" i="2" s="1"/>
  <c r="E23" i="1" s="1"/>
  <c r="J23" i="1" l="1"/>
  <c r="K25" i="1" s="1"/>
  <c r="J84" i="2"/>
  <c r="J85" i="2" s="1"/>
  <c r="E33" i="1" s="1"/>
  <c r="J33" i="1" s="1"/>
  <c r="J78" i="2"/>
  <c r="J79" i="2" s="1"/>
  <c r="E32" i="1" s="1"/>
  <c r="J32" i="1" s="1"/>
  <c r="K34" i="1" l="1"/>
  <c r="J689" i="2" l="1"/>
  <c r="J690" i="2" s="1"/>
  <c r="E388" i="1" s="1"/>
  <c r="J388" i="1" s="1"/>
  <c r="K397" i="1" s="1"/>
  <c r="J668" i="2"/>
  <c r="J669" i="2" s="1"/>
  <c r="E377" i="1" s="1"/>
  <c r="J377" i="1" s="1"/>
  <c r="K378" i="1" s="1"/>
  <c r="J504" i="1" l="1"/>
</calcChain>
</file>

<file path=xl/sharedStrings.xml><?xml version="1.0" encoding="utf-8"?>
<sst xmlns="http://schemas.openxmlformats.org/spreadsheetml/2006/main" count="3991" uniqueCount="1582">
  <si>
    <t>ITEM</t>
  </si>
  <si>
    <t xml:space="preserve">CODIGO </t>
  </si>
  <si>
    <t xml:space="preserve">DESCRIÇÃO </t>
  </si>
  <si>
    <t>QUANT.</t>
  </si>
  <si>
    <t>UND.</t>
  </si>
  <si>
    <t xml:space="preserve">MATERIAL </t>
  </si>
  <si>
    <t>MÃO DE OBRA</t>
  </si>
  <si>
    <t xml:space="preserve">TOTAL </t>
  </si>
  <si>
    <t xml:space="preserve">TOTAL COM BDI </t>
  </si>
  <si>
    <t xml:space="preserve">GRUPO DE SERVIÇO: 164- SERVIÇOS PRELIMINARES </t>
  </si>
  <si>
    <t>GOINFRA</t>
  </si>
  <si>
    <t>SERVIÇOS PRELIMINARES</t>
  </si>
  <si>
    <t>1.1</t>
  </si>
  <si>
    <t xml:space="preserve"> m2 </t>
  </si>
  <si>
    <t>1.2</t>
  </si>
  <si>
    <t>1.3</t>
  </si>
  <si>
    <t xml:space="preserve">m2 </t>
  </si>
  <si>
    <t>1.4</t>
  </si>
  <si>
    <t>1.5</t>
  </si>
  <si>
    <t xml:space="preserve">GRUPO DE SERVIÇO: 165- TRANSPORTES </t>
  </si>
  <si>
    <t>TRANSPORTES</t>
  </si>
  <si>
    <t>2.1</t>
  </si>
  <si>
    <t>GRUPO DE SERVIÇO: 166- SERVIÇOS EM TERRA</t>
  </si>
  <si>
    <t>SERVICO EM TERRA</t>
  </si>
  <si>
    <t xml:space="preserve">GRUPO DE SERVIÇO: 167- FUNDAÇOES E SONDAGENS </t>
  </si>
  <si>
    <t xml:space="preserve">GOINFRA </t>
  </si>
  <si>
    <t>FUNDACOES E SONDAGENS</t>
  </si>
  <si>
    <t xml:space="preserve">GRUPO DE SERVIÇO: 168- ESTRUTURA </t>
  </si>
  <si>
    <t>ESTRUTURA</t>
  </si>
  <si>
    <t>GRUPO DE SERVIÇO: 169- INST. ELÉT./TELEFÔNICA/CABEAMENTO ESTRUTURADO</t>
  </si>
  <si>
    <t>INST. ELET./TELEFONICA/CABEAMENTO ESTRUTURADO</t>
  </si>
  <si>
    <t xml:space="preserve">m </t>
  </si>
  <si>
    <t>GRUPO DE SERVIÇO: 170- INSTALAÇÕES HIDRO-SANITÁRIAS</t>
  </si>
  <si>
    <t>INSTALAÇÕES HIDROSSANITÁRIAS</t>
  </si>
  <si>
    <t>GRUPO DE SERVIÇO: 172- ALVENARIAS E DIVISÓRIAS</t>
  </si>
  <si>
    <t>ALVENARIAS E DIVISORIAS</t>
  </si>
  <si>
    <t xml:space="preserve">GRUPO DE SERVIÇO: 174- IMPERMEABILIZAÇÃO </t>
  </si>
  <si>
    <t>IMPERMEABILIZACAO</t>
  </si>
  <si>
    <t>GRUPO DE SERVIÇO: 176- ESTRUTURA DE MADEIRA</t>
  </si>
  <si>
    <t>ESTRUTURA DE MADEIRA</t>
  </si>
  <si>
    <t>GRUPO DE SERVIÇO: 177 - ESTRUTURAS METÁLICAS</t>
  </si>
  <si>
    <t>ESTRUTURAS METALICAS</t>
  </si>
  <si>
    <t>GRUPO DE SERVIÇO: 178- COBERTURAS</t>
  </si>
  <si>
    <t>COBERTURAS</t>
  </si>
  <si>
    <t xml:space="preserve">GRUPO DE SERVIÇO: 179- ESQUADRIAS DE MADEIRA </t>
  </si>
  <si>
    <t xml:space="preserve">ESQUADRIAS DE MADEIRA </t>
  </si>
  <si>
    <t xml:space="preserve">GRUPO DE SERVIÇO: 180- ESQUADRIAS DE METALICAS </t>
  </si>
  <si>
    <t>ESQUADRIAS METÁLICAS</t>
  </si>
  <si>
    <t xml:space="preserve">GRUPO DE SERVIÇO: 181- VIDROS </t>
  </si>
  <si>
    <t>VIDROS</t>
  </si>
  <si>
    <t xml:space="preserve">GRUPO DE SERVIÇO: 182- REVESTIMENTO DE PAREDE </t>
  </si>
  <si>
    <t>REVESTIMENTO DE PAREDES</t>
  </si>
  <si>
    <t>GRUPO DE SERVIÇO: 183- FORROS</t>
  </si>
  <si>
    <t>FORROS</t>
  </si>
  <si>
    <t xml:space="preserve">GRUPO DE SERVIÇO: 184- REVESTIMENTO DE PISO </t>
  </si>
  <si>
    <t>REVESTIMENTO DE PISO</t>
  </si>
  <si>
    <t xml:space="preserve">GRUPO DE SERVIÇO: 185- FERRAGENS </t>
  </si>
  <si>
    <t>FERRAGENS</t>
  </si>
  <si>
    <t xml:space="preserve">GRUPO DE SERVIÇO: 186- ADMINISTRAÇÃO </t>
  </si>
  <si>
    <t>ADMINISTRAÇÃO - MENSALISTAS</t>
  </si>
  <si>
    <t>GRUPO DE SERVIÇO: 188- PINTURA</t>
  </si>
  <si>
    <t>PINTURA</t>
  </si>
  <si>
    <t xml:space="preserve">GRUPO DE SERVIÇO: 189- DIVERSOS </t>
  </si>
  <si>
    <t>DIVERSOS</t>
  </si>
  <si>
    <t>TOTAL</t>
  </si>
  <si>
    <t>TOTAL COM BDI</t>
  </si>
  <si>
    <t xml:space="preserve">ORÇAMENTO: CLÍNICA DE DEPENDENTES QUÍMICOS </t>
  </si>
  <si>
    <t xml:space="preserve">MEMÓRIA DE CÁLCULO: CLÍNICA DE DEPENDENTES QUÍMICOS </t>
  </si>
  <si>
    <t>MEMÓRIA DE CÁLCULO</t>
  </si>
  <si>
    <t xml:space="preserve"> LIMPEZA MECANICA DE TERRENO </t>
  </si>
  <si>
    <t>SINAPI</t>
  </si>
  <si>
    <t>LOCACAO DE CONTAINER 2,30 X 6,00 M, ALT. 2,50 M, PARA ESCRITORIO, SEM DIVISORIAS INTERNAS E SEM SANITARIO</t>
  </si>
  <si>
    <t>LOCACAO DE CONTAINER 2,30 X 4,30 M, ALT. 2,50 M, P/ SANITARIO, C/ 5 BACIAS, 1 LAVATORIO E 4 MICTORIOS</t>
  </si>
  <si>
    <t xml:space="preserve">LIGAÇÃO PROVISÓRIA LUZ E FORÇA - PD. GOINFRA </t>
  </si>
  <si>
    <t xml:space="preserve">LOCAÇÃO DE PRAÇA, QUADRA, IMPLANTAÇÃO UTILIZANDO CAVALETE, INCLUSO PIQUETE COM TESTEMUNHA </t>
  </si>
  <si>
    <t xml:space="preserve"> LOCAÇÃO DA OBRA, EXECUÇÃO DE GABARITO SEM REAPROVEITAMENTO, INCLUSO PINTURA (FACE INTERNA DO RIPÃO 15CM) E PIQUETE COM TESTEMUNHA </t>
  </si>
  <si>
    <t xml:space="preserve">ABERTURA DE POÇOS (CISTERNA) - ÁGUA POTÁVEL </t>
  </si>
  <si>
    <t>REVESTIMENTO DE POCOS (CISTERNA) C/TUBOS</t>
  </si>
  <si>
    <t xml:space="preserve"> m </t>
  </si>
  <si>
    <t xml:space="preserve">LAJE CIRCULAR PARA POÇOS (CISTERNA) COM ENCABEÇAMENTO </t>
  </si>
  <si>
    <t xml:space="preserve">PLACA DE OBRA PLOTADA EM CHAPA METÁLICA 26 , AFIXADA EM CAVALETES DE MADEIRA DE LEI (VIGOTAS 6X12CM) - PADRÃO GOINFRA </t>
  </si>
  <si>
    <t>1.6</t>
  </si>
  <si>
    <t>1.7</t>
  </si>
  <si>
    <t>1.8</t>
  </si>
  <si>
    <t>1.9</t>
  </si>
  <si>
    <t>1.10</t>
  </si>
  <si>
    <t>Total</t>
  </si>
  <si>
    <t>Área da clínica</t>
  </si>
  <si>
    <t>Área</t>
  </si>
  <si>
    <t>Quantidade</t>
  </si>
  <si>
    <t>Ligação provisória</t>
  </si>
  <si>
    <t>Duração da obra</t>
  </si>
  <si>
    <t>Meses</t>
  </si>
  <si>
    <t xml:space="preserve">Área do terreno </t>
  </si>
  <si>
    <t>Quadra poliesportivo</t>
  </si>
  <si>
    <t>Campo society</t>
  </si>
  <si>
    <t>Galpão</t>
  </si>
  <si>
    <t xml:space="preserve">Piscina </t>
  </si>
  <si>
    <t>Poço artesiano</t>
  </si>
  <si>
    <t>Profundidade</t>
  </si>
  <si>
    <t xml:space="preserve">Altura </t>
  </si>
  <si>
    <t>Comprimento</t>
  </si>
  <si>
    <t>Placa de obra</t>
  </si>
  <si>
    <t xml:space="preserve">m3 </t>
  </si>
  <si>
    <t xml:space="preserve">Área </t>
  </si>
  <si>
    <t>Porcentagem</t>
  </si>
  <si>
    <t xml:space="preserve">Área de construção da clinica </t>
  </si>
  <si>
    <t xml:space="preserve">ESCAVACAO MANUAL DE VALAS &lt; 1 MTS. (OBRAS CIVIS) </t>
  </si>
  <si>
    <t xml:space="preserve">REATERRO COM APILOAMENTO </t>
  </si>
  <si>
    <t xml:space="preserve">REGULARIZAÇÃO DO TERRENO SEM APILOAMENTO COM TRANSPORTE MANUAL DA TERRA ESCAVADA </t>
  </si>
  <si>
    <t>3.1</t>
  </si>
  <si>
    <t>3.2</t>
  </si>
  <si>
    <t>3.3</t>
  </si>
  <si>
    <t>3.4</t>
  </si>
  <si>
    <t>3.5</t>
  </si>
  <si>
    <t xml:space="preserve">Comprimento </t>
  </si>
  <si>
    <t>346,06+77,06+29,2+32,95+32,8+44,57+3,65+(5*4,28)+4,11+(8*3,8)+(17*3,8)+4,35+10,15+7,4+7,4+7,3+5,52+3,8+3,8+3,65+3,8+2,15+3,65+3,8+6,59+(4*3,8)+5,7+3,8+(3*2,66)+(3*2,05)+88,99+12,39+3,22+8+5</t>
  </si>
  <si>
    <t>Largura</t>
  </si>
  <si>
    <t>Altura</t>
  </si>
  <si>
    <t>0,15+0,14+0,15</t>
  </si>
  <si>
    <t>Viga baldrame</t>
  </si>
  <si>
    <t>0,15+0,15</t>
  </si>
  <si>
    <t xml:space="preserve">ESTACA A TRADO DIAM.30 CM SEM FERRO </t>
  </si>
  <si>
    <t xml:space="preserve">ESCAVACAO MANUAL DE VALAS (SAPATAS/BLOCOS) </t>
  </si>
  <si>
    <t>APILOAMENTO (BLOCOS/SAPATAS)</t>
  </si>
  <si>
    <t xml:space="preserve">PREPARO COM BETONEIRA E TRANSPORTE MANUAL DE CONCRETO FCK-20 - (O.C.) </t>
  </si>
  <si>
    <t>m3</t>
  </si>
  <si>
    <t xml:space="preserve">LANÇAMENTO/APLICAÇÃO/ADENSAMENTO DE CONCRETO EM FUNDAÇÃO- (O.C.) </t>
  </si>
  <si>
    <t xml:space="preserve">ACO CA-50A - 6,3 MM (1/4") - (OBRAS CIVIS) </t>
  </si>
  <si>
    <t xml:space="preserve">Kg </t>
  </si>
  <si>
    <t>ACO CA-50A - 10,0 MM (3/8") - (OBRAS CIVIS)</t>
  </si>
  <si>
    <t xml:space="preserve"> Kg </t>
  </si>
  <si>
    <t>4.1</t>
  </si>
  <si>
    <t>4.2</t>
  </si>
  <si>
    <t>4.3</t>
  </si>
  <si>
    <t>4.4</t>
  </si>
  <si>
    <t>4.5</t>
  </si>
  <si>
    <t>4.6</t>
  </si>
  <si>
    <t>4.7</t>
  </si>
  <si>
    <t>151+56+4</t>
  </si>
  <si>
    <t xml:space="preserve">Estacas </t>
  </si>
  <si>
    <t xml:space="preserve">BUCHA E ARRUELA METALICA DIAM. 1" </t>
  </si>
  <si>
    <t xml:space="preserve">DISJUNTOR TRIPOLAR DE 60 A 100-A </t>
  </si>
  <si>
    <t xml:space="preserve">BUCHA DE NYLON S-5 </t>
  </si>
  <si>
    <t xml:space="preserve">CABO EPR/XLPE (90°C) 1 KV - 50 MM2 </t>
  </si>
  <si>
    <t xml:space="preserve">CABO EPR/XLPE (90°C) 1 KV - 95 MM2 </t>
  </si>
  <si>
    <t>CABO ISOLADO PVC 750 V, No. 16 MM2</t>
  </si>
  <si>
    <t>CABO ISOLADO PVC 750 V, No. 25 MM2</t>
  </si>
  <si>
    <t xml:space="preserve">CABO ISOLADO PVC 750 V, No. 35 MM2 </t>
  </si>
  <si>
    <t>CABO PVC (70ºC) 1 KV No. 70 MM2</t>
  </si>
  <si>
    <t xml:space="preserve">CAIXA METALICA OCTOGONAL FUNDO MOVEL, SIMPLES 2" </t>
  </si>
  <si>
    <t xml:space="preserve">CAIXA METALICA RET. 4" X 2" X 2" </t>
  </si>
  <si>
    <t xml:space="preserve">CAIXA METALICA QUADRADA 4"X4"X2" </t>
  </si>
  <si>
    <t xml:space="preserve">CAIXA PARA QUADRO DE COMANDO METÁLICA DE SOBREPOR 40X30X20 CM </t>
  </si>
  <si>
    <t xml:space="preserve">CAIXA METÁLICA PARA MEDIDOR POLIFÁSICO PADRÃO ENEL 500X380X166MM </t>
  </si>
  <si>
    <t>CONDULETE METÁLICO - CAIXA COM 5 ENTRADAS</t>
  </si>
  <si>
    <t xml:space="preserve"> CURVA DE 90 GRAUS DE PVC RIGIDO DIAM. 1" </t>
  </si>
  <si>
    <t xml:space="preserve">DISJUNTOR MONOPOLAR DE 10 A 32-A </t>
  </si>
  <si>
    <t xml:space="preserve">DISJUNTOR TRIPOLAR DE 10 A 35-A </t>
  </si>
  <si>
    <t xml:space="preserve">DISJUNTOR TRIPOLAR 40 A 50A </t>
  </si>
  <si>
    <t xml:space="preserve">DISJUNTOR TRIPOLAR DE 125-A </t>
  </si>
  <si>
    <t>DISJUNTOR TRIPOLAR DE 250-A</t>
  </si>
  <si>
    <t xml:space="preserve">DISPOSITIVO DE PROTEÇÃO CONTRA SURTOS (D.P.S.) 275V DE 8 A 40KA </t>
  </si>
  <si>
    <t xml:space="preserve">ELETRODUTO PVC FLEXÍVEL - MANGUEIRA CORRUGADA LEVE - DIAM. 20MM </t>
  </si>
  <si>
    <t xml:space="preserve">ELETRODUTO PVC FLEXÍVEL - MANGUEIRA CORRUGADA LEVE - DIAM. 25MM </t>
  </si>
  <si>
    <t>ELETRODUTO DE PVC RIGIDO DIAMETRO 1.1/4"</t>
  </si>
  <si>
    <t xml:space="preserve">ELETRODUTO EM AÇO ZINCADO DIÂMETRO 3/4" </t>
  </si>
  <si>
    <t xml:space="preserve">FIO ISOLADO PVC 750 V, No. 2,5 MM2 </t>
  </si>
  <si>
    <t xml:space="preserve"> FIO ISOLADO PVC 750 V, No. 4 MM2 </t>
  </si>
  <si>
    <t xml:space="preserve">FIO ISOLADO PVC 750 V, No. 6 MM2 </t>
  </si>
  <si>
    <t xml:space="preserve">FIO ISOLADO PVC 750 V, No. 10 MM2 </t>
  </si>
  <si>
    <t xml:space="preserve"> IGNITOR S-52 P/LÂMPADA V.MET.2000 W. </t>
  </si>
  <si>
    <t>INTERRUPTOR 1 SEÇÃO (LINHA X OU EQUIVALENTE)</t>
  </si>
  <si>
    <t xml:space="preserve">INTERRUPTOR INTERMEDIARIO (FOUR-WAY) </t>
  </si>
  <si>
    <t xml:space="preserve">INTERRUPTOR PARALELO SIMPLES (1 SECAO) </t>
  </si>
  <si>
    <t xml:space="preserve">INTERRUPTOR PARALELO DUPLO (2 SECOES) </t>
  </si>
  <si>
    <t xml:space="preserve">INTERRUPTOR SIMPLES (2 SECOES) </t>
  </si>
  <si>
    <t xml:space="preserve">INTERRUPTOR SIMPLES 1 SEÇÃO E 1 TOMADA HEXAGONAL 2P + T - 10A CONJUGADOS </t>
  </si>
  <si>
    <t xml:space="preserve">LAMPADA A VAPOR DE MERCURIO 125 W </t>
  </si>
  <si>
    <t xml:space="preserve">LAMPADA VAPOR METALICO OVOIDE 150 W </t>
  </si>
  <si>
    <t xml:space="preserve">LÂMPADA FLUORESCENTE TUBULAR T5 DE 28 W </t>
  </si>
  <si>
    <t xml:space="preserve"> LAMPADA MISTA DE 160 W</t>
  </si>
  <si>
    <t xml:space="preserve">LAMPADA COMPACTA ELETRÔNICA COM REATOR INTEGRADO 25/26 W </t>
  </si>
  <si>
    <t xml:space="preserve">LAMPADA VAPOR DE SODIO OVOIDE 150 W </t>
  </si>
  <si>
    <t xml:space="preserve">LUMINÁRIA BLINDADA PARA TETO COM GRADE ( MÉDIA ) - BASE E-27 </t>
  </si>
  <si>
    <t>LUMINÁRIA DE EMBUTIR COM REFLETOR DE ALUMÍNIO E ALETAS 2X28W - INCLUSO CORTE NO FORRO</t>
  </si>
  <si>
    <t xml:space="preserve">un </t>
  </si>
  <si>
    <t xml:space="preserve">LUMINÁRIA DE SOBREPOR COM REFLETOR DE ALUMÍNIO E ALETAS 2X28W </t>
  </si>
  <si>
    <t xml:space="preserve">LUMINÁRIA CIRCULAR COM VIDRO PARA QUADRA ATÉ 400 W - BASE E-40 </t>
  </si>
  <si>
    <t xml:space="preserve">LUMINÁRIA TIPO SPOT DE SOBREPOR PARA 02 LÂMPADAS </t>
  </si>
  <si>
    <t xml:space="preserve">LUVA PVC ROSQUEAVEL DIAMETRO 1" </t>
  </si>
  <si>
    <t xml:space="preserve">NIPLE METALICO Fo.Zo. DIAMETRO 1" </t>
  </si>
  <si>
    <t>POSTE SIMPLES CÔNICO CONTÍNUO, CIRCULAR, RETO, COM DIÂMETRO NOMINAL DE 60MM NA EXTREMIDADE, GALVANIZADO A FOGO, Hútil= 7 M - ENGASTADO EM CONCRETO COM FCK = 13,5 MPA</t>
  </si>
  <si>
    <t>PULSADOR CAMPAINHA</t>
  </si>
  <si>
    <t xml:space="preserve">QUADRO DE DISTRIBUIÇÃO DE EMBUTIR METÁLICO CB-24E - 150A </t>
  </si>
  <si>
    <t xml:space="preserve">QUADRO DE DISTRIBUIÇÃO DE EMBUTIR METÁLICO CB-44E - 150A </t>
  </si>
  <si>
    <t xml:space="preserve">REATOR AFP USO EXTERNO V.METALICO 150 W </t>
  </si>
  <si>
    <t xml:space="preserve">REATOR ELETRÔNICO AFP 2 X 28W </t>
  </si>
  <si>
    <t xml:space="preserve">RELE FOTO ELETRICO COM BASE </t>
  </si>
  <si>
    <t xml:space="preserve">SUPORTE PARA 1 PÉTALA PARA LUMINÁRIA DE ILUMINAÇÃO PÚBLICA </t>
  </si>
  <si>
    <t xml:space="preserve">TOMADA HEXAGONAL 2P + T - 10A - 250V (LINHA X OU EQUIVALENTE) </t>
  </si>
  <si>
    <t xml:space="preserve">TOMADA HEXAGONAL 2P + T - 20A - 250V (LINHA X OU EQUIVALENTE) </t>
  </si>
  <si>
    <t xml:space="preserve">SINAPI </t>
  </si>
  <si>
    <t>INTERRUPTOR PARALELO (3 MÓDULOS), 10A/250V, SEM SUPORTE E SEM PLACA - FORNECIMENTO E INSTALAÇÃO. AF_12/2015</t>
  </si>
  <si>
    <t>INTERRUPTOR SIMPLES (2 MÓDULOS) COM 1 TOMADA DE EMBUTIR 2P+T 10 A, SEM SUPORTE E SEM PLACA - FORNECIMENTO E INSTALAÇÃO. AF_12/2015</t>
  </si>
  <si>
    <t>6.1</t>
  </si>
  <si>
    <t>6.2</t>
  </si>
  <si>
    <t>6.6</t>
  </si>
  <si>
    <t>6.7</t>
  </si>
  <si>
    <t>6.3</t>
  </si>
  <si>
    <t>6.4</t>
  </si>
  <si>
    <t>6.5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</si>
  <si>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</si>
  <si>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</si>
  <si>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</si>
  <si>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</si>
  <si>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</si>
  <si>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</si>
  <si>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</si>
  <si>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</si>
  <si>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</si>
  <si>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</si>
  <si>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</si>
  <si>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</si>
  <si>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</si>
  <si>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</si>
  <si>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</si>
  <si>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</si>
  <si>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</si>
  <si>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</si>
  <si>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</si>
  <si>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</si>
  <si>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</si>
  <si>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</si>
  <si>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</si>
  <si>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</si>
  <si>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</si>
  <si>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</si>
  <si>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</si>
  <si>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</si>
  <si>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</si>
  <si>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</si>
  <si>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</si>
  <si>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6.39</t>
  </si>
  <si>
    <t>6.40</t>
  </si>
  <si>
    <t>6.41</t>
  </si>
  <si>
    <t>6.42</t>
  </si>
  <si>
    <t>6.43</t>
  </si>
  <si>
    <t>6.44</t>
  </si>
  <si>
    <t>6.45</t>
  </si>
  <si>
    <t>6.46</t>
  </si>
  <si>
    <t>6.47</t>
  </si>
  <si>
    <t>6.48</t>
  </si>
  <si>
    <t>6.49</t>
  </si>
  <si>
    <t>6.50</t>
  </si>
  <si>
    <t>6.51</t>
  </si>
  <si>
    <t>6.52</t>
  </si>
  <si>
    <t>6.53</t>
  </si>
  <si>
    <t>6.54</t>
  </si>
  <si>
    <t>6.55</t>
  </si>
  <si>
    <t>6.56</t>
  </si>
  <si>
    <t>6.57</t>
  </si>
  <si>
    <t>6.58</t>
  </si>
  <si>
    <t>6.59</t>
  </si>
  <si>
    <t>6.60</t>
  </si>
  <si>
    <t>6.61</t>
  </si>
  <si>
    <t>6.62</t>
  </si>
  <si>
    <t>6.63</t>
  </si>
  <si>
    <t>6.64</t>
  </si>
  <si>
    <t>6.65</t>
  </si>
  <si>
    <t>6.66</t>
  </si>
  <si>
    <t xml:space="preserve">PADRÃO TRIFASICO 35 MM H=7 METROS </t>
  </si>
  <si>
    <t>6.67</t>
  </si>
  <si>
    <t>E S G O T O S A N I T A R I O</t>
  </si>
  <si>
    <t>B U C H A S</t>
  </si>
  <si>
    <t>BUCHA DE REDUCAO LONGA DIAM. 50 X 40 MM</t>
  </si>
  <si>
    <t>C O R P O DE C A I X A S I F O N A D A/R A L O</t>
  </si>
  <si>
    <t xml:space="preserve">CORPO CX. SIFONADA DIAM. 100 X 150 X 50 </t>
  </si>
  <si>
    <t xml:space="preserve">CORPO CX. SIFONADA DIAM. 150 X 150 X 50 </t>
  </si>
  <si>
    <t xml:space="preserve">CORPO CX. SIFONADA DIAM. 150 X 185 X 75 </t>
  </si>
  <si>
    <t xml:space="preserve">CORPO RALO SIFONADO CILINDRICO 100 X 40 </t>
  </si>
  <si>
    <t xml:space="preserve">CORPO RALO SIFONADO QUADRADO 100 X 53 X 40 </t>
  </si>
  <si>
    <t xml:space="preserve"> C U R V A S</t>
  </si>
  <si>
    <t xml:space="preserve">CURVA 90 GRAUS LONGA DIAM. 100 MM </t>
  </si>
  <si>
    <t xml:space="preserve">CURVA 90 GRAUS LONGA DIAM. 50 MM </t>
  </si>
  <si>
    <t xml:space="preserve">CURVA 90 GRAUS LONGA DIAM. 75 MM </t>
  </si>
  <si>
    <t xml:space="preserve"> CURVA 45 GRAUS DIAMETRO 40 MM </t>
  </si>
  <si>
    <t xml:space="preserve">CURVA 90 GRAUS CURTA DIAM. 100 MM </t>
  </si>
  <si>
    <t xml:space="preserve">CURVA 90 GRAUS CURTA DIAM. 50 MM </t>
  </si>
  <si>
    <t xml:space="preserve">CURVA 90 GRAUS CURTA DIAM. 40 MM </t>
  </si>
  <si>
    <t xml:space="preserve">CURVA 90 GRAUS CURTA DIAM. 75 MM </t>
  </si>
  <si>
    <t>D I V E R S O S</t>
  </si>
  <si>
    <t xml:space="preserve">CAIXA DE GORDURA 100 L CONCRETO PADRÃO GOINFRA IMPERMEABILIZADA </t>
  </si>
  <si>
    <t>J O E L H O S</t>
  </si>
  <si>
    <t xml:space="preserve">JOELHO 90 GRAUS C/ANEL 40 mm </t>
  </si>
  <si>
    <t xml:space="preserve">JOELHO 90 GRAUS DIAMETRO 40 MM </t>
  </si>
  <si>
    <t xml:space="preserve">JOELHO 90 GRAUS DIAMETRO 75 MM </t>
  </si>
  <si>
    <t xml:space="preserve">JOELHO 90 GRAUS DIAMETRO 50 MM </t>
  </si>
  <si>
    <t xml:space="preserve">JOELHO 90 GRAUS DIAMETRO 100 MM </t>
  </si>
  <si>
    <t>J U N C O E S</t>
  </si>
  <si>
    <t xml:space="preserve">JUNCAO SIMPLES DIAMETRO 50 X 50 MM </t>
  </si>
  <si>
    <t xml:space="preserve">JUNCAO SIMPLES DIAM. 75 X 50 MM </t>
  </si>
  <si>
    <t xml:space="preserve">JUNCAO SIMPLES DIAMETRO 75 X 75 MM </t>
  </si>
  <si>
    <t xml:space="preserve">JUNCAO SIMPLES DIAM. 100 X 50 MM </t>
  </si>
  <si>
    <t xml:space="preserve">JUNCAO SIMPLES DIAMETRO 100 X 75 MM </t>
  </si>
  <si>
    <t xml:space="preserve">JUNCAO SIMPLES DIAM. 100 X 100 MM </t>
  </si>
  <si>
    <t>PORTA GRELHA QUADRADO P/GREL.QUADRADA DIAM. 100 MM</t>
  </si>
  <si>
    <t>P O R T A / G R E L H A</t>
  </si>
  <si>
    <t>R E D U C O E S</t>
  </si>
  <si>
    <t xml:space="preserve">REDUCAO EXCENTRICA 75 X 50 MM </t>
  </si>
  <si>
    <t xml:space="preserve">REDUCAO EXCENTRICA 100 X 75 MM </t>
  </si>
  <si>
    <t xml:space="preserve">REDUCAO EXCENTRICA 100 X 50 MM </t>
  </si>
  <si>
    <t>T E</t>
  </si>
  <si>
    <t xml:space="preserve">TE 90 GRAUS DIAMETRO 40 MM - ESGOTO </t>
  </si>
  <si>
    <t xml:space="preserve">TE SANITARIO DIAMETRO 50 X 50 MM </t>
  </si>
  <si>
    <t xml:space="preserve">TE SANITARIO DIAMETRO 75 X 75 MM </t>
  </si>
  <si>
    <t>T U B O S</t>
  </si>
  <si>
    <t xml:space="preserve">TUBO SOLD.P/ESGOTO DIAM. 40 MM </t>
  </si>
  <si>
    <t xml:space="preserve"> TUBO SOLD. P/ESGOTO DIAM. 50 MM </t>
  </si>
  <si>
    <t>m</t>
  </si>
  <si>
    <t xml:space="preserve">TUBO SOLDAVEL P/ESGOTO DIAM.75 MM </t>
  </si>
  <si>
    <t xml:space="preserve">TUBO SOLDAVEL P/ESGOTO DIAM. 100 MM </t>
  </si>
  <si>
    <t>L O U C A S E M E T A I S</t>
  </si>
  <si>
    <t>V A S O S A N I T A R I O / A C E S S O R I O S</t>
  </si>
  <si>
    <t>VASO SANITÁRIO COM CAIXA ACOPLADA COM DUPLO ACIONAMENTO - COMPLETO EXCLUSO O ASSENTO</t>
  </si>
  <si>
    <t xml:space="preserve">ASSENTO EM POLIPROPILENO COM SISTEMA DE FECHAMENTO SUAVE PARA VASO SANITÁRIO </t>
  </si>
  <si>
    <t xml:space="preserve">PORTA PAPEL HIGIÊNICO EM METAL/ACABAMENTO CROMADO </t>
  </si>
  <si>
    <t>L A V A T O R I O / A C E S S O R I O S</t>
  </si>
  <si>
    <t xml:space="preserve">LIGAÇÃO FLEXÍVEL METÁLICA DIAM.1/2"(ENGATE) </t>
  </si>
  <si>
    <t xml:space="preserve">SIFAO FLEXIVEL UNIVERSAL ( SANFONADO) EM PVC PARA LAVATORIO </t>
  </si>
  <si>
    <t xml:space="preserve">TORNEIRA DE MESA PARA LAVATÓRIO DIÂMETRO DE 1/2" </t>
  </si>
  <si>
    <t xml:space="preserve"> CUBA DE LOUCA DE EMBUTIR OVAL MÉDIA </t>
  </si>
  <si>
    <t>M I C T O R I O/A C E S S O R I O S</t>
  </si>
  <si>
    <t xml:space="preserve">MICTORIO DE LOUCA C/SIFAO INTEGRADO </t>
  </si>
  <si>
    <t xml:space="preserve"> KIT FERR.P/MICT.LOUCA (ESPUDE,CONEXÃO ENTR.PARAFUSOS) </t>
  </si>
  <si>
    <t>VÁLVULA DE DESCARGA PARA MICTÓRIO DIÂMETRO 1/2" FECHAMENTO AUTOMÁTICO TEMPORIZADO</t>
  </si>
  <si>
    <t>P I A / A C E S S O R I O S</t>
  </si>
  <si>
    <t xml:space="preserve">TORNEIRA DE MESA PARA PIA DIÂMETRO DE 1/2" - BICA MÓVEL </t>
  </si>
  <si>
    <t xml:space="preserve">SIFAO P/PIA 1.1/2"X2" PVC CROMADO </t>
  </si>
  <si>
    <t>VALVULA P/PIA TIPO AMERICANA DIAM.3.1/2" (METAL)</t>
  </si>
  <si>
    <t xml:space="preserve">CUBA INOX 46X30X15CM E=0,6MM-AÇO 304 (CUBA Nº 1) </t>
  </si>
  <si>
    <t xml:space="preserve">TANQUE (PANELAO) INOX 60 X 70 X 40 CM CH.18 </t>
  </si>
  <si>
    <t>F I L T R O / C H U V E I R O</t>
  </si>
  <si>
    <t xml:space="preserve">CHUVEIRO ELÉTRICO EM PVC COM BRAÇO METÁLICO </t>
  </si>
  <si>
    <t xml:space="preserve"> T A N Q U E S / T O R N E I R A S J A R D I M S</t>
  </si>
  <si>
    <t>TANQUE MARMORE/GRANITO SINTÉTICO C/DUAS CUBAS E 1 BATEDOR</t>
  </si>
  <si>
    <t>TORNEIRA DE PAREDE PARA TANQUE COM AREJADOR DIÂMETRO DE 1/2" E 3/4"</t>
  </si>
  <si>
    <t xml:space="preserve">SIFAO P/TANQUE 1" X 1.1/2" - PVC </t>
  </si>
  <si>
    <t xml:space="preserve">VALVULA P/TANQUE METALICA DIAM.1" S/LADRAO </t>
  </si>
  <si>
    <t xml:space="preserve">HIDROMETRO DIAM.RAMAL = 25 MM VAZAO =1,5 A 3 M3 </t>
  </si>
  <si>
    <t xml:space="preserve">KIT CAVALETE D=25MM P/HIDRÔMETRO 1,5-3,0-5,0 M3/MURETA/CAIXA </t>
  </si>
  <si>
    <t xml:space="preserve">CAIXA DE INSPEÇÃO - TAMPA EM CONCRETO ARMADO 25 MPA E=5CM </t>
  </si>
  <si>
    <t>CAIXA DE INSPEÇÃO - LASTRO DE CONCRETO (COM ADIÇÃO DE IMPERMEABILIZANTE) 20MPA E=5CM PARA O FUNDO</t>
  </si>
  <si>
    <t>CAIXA DE INSPEÇÃO - ALVENARIA DE 1/2 VEZ COM REVESTIMENTO INTERNO EM REBOCO PAULISTA A-14 (COM ADIÇÃO DE IMPERMEABILIZANTE)</t>
  </si>
  <si>
    <t xml:space="preserve">CAIXA DE INSPEÇÃO - ESCAVAÇÃO MANUAL / REATERRO/ APILOAMENTO DO FUNDO </t>
  </si>
  <si>
    <t>CABO TELEFONICO CCI-50 3 PARES</t>
  </si>
  <si>
    <t xml:space="preserve">CABO UTP-4P, CAT. 6 , 24 AWG </t>
  </si>
  <si>
    <t>CAIXA DE PASSAGEM METÁLICA DE EMBUTIR  40X40X15 CM</t>
  </si>
  <si>
    <t>ELETRODUTO PVC FLEXÍVEL - MANGUEIRA CORRUGADA LEVE - DIAM. 25MM</t>
  </si>
  <si>
    <t>TOMADA TELEFÔNICA RJ-11</t>
  </si>
  <si>
    <t>TOMADA LÓGICA RJ-45 CAT. 6 (LINHA X OU EQUIVALENTE)</t>
  </si>
  <si>
    <t>6.68</t>
  </si>
  <si>
    <t>6.69</t>
  </si>
  <si>
    <t>6.70</t>
  </si>
  <si>
    <t>6.71</t>
  </si>
  <si>
    <t>6.72</t>
  </si>
  <si>
    <t>6.73</t>
  </si>
  <si>
    <t>6.74</t>
  </si>
  <si>
    <t xml:space="preserve">BOMBA RECALQUE D'AGUA TRIFASICA 3,0 HP </t>
  </si>
  <si>
    <t>BOMBA RECALQUE D'AGUA TRIFASICA 1,5HP</t>
  </si>
  <si>
    <t>6.75</t>
  </si>
  <si>
    <t>6.76</t>
  </si>
  <si>
    <t>7.1</t>
  </si>
  <si>
    <t>7.2</t>
  </si>
  <si>
    <t>7.3</t>
  </si>
  <si>
    <t>8.2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</si>
  <si>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</si>
  <si>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</si>
  <si>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</si>
  <si>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</si>
  <si>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</si>
  <si>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</si>
  <si>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</si>
  <si>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</si>
  <si>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</si>
  <si>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</si>
  <si>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</si>
  <si>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</si>
  <si>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</si>
  <si>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</si>
  <si>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</si>
  <si>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</si>
  <si>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</si>
  <si>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</si>
  <si>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</si>
  <si>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</si>
  <si>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</si>
  <si>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</si>
  <si>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</si>
  <si>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</si>
  <si>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</si>
  <si>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</si>
  <si>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</si>
  <si>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</si>
  <si>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</si>
  <si>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</si>
  <si>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</si>
  <si>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</si>
  <si>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</si>
  <si>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</si>
  <si>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</si>
  <si>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7.39</t>
  </si>
  <si>
    <t>7.40</t>
  </si>
  <si>
    <t>7.41</t>
  </si>
  <si>
    <t>7.42</t>
  </si>
  <si>
    <t>7.43</t>
  </si>
  <si>
    <t>7.44</t>
  </si>
  <si>
    <t>7.45</t>
  </si>
  <si>
    <t>7.46</t>
  </si>
  <si>
    <t>7.47</t>
  </si>
  <si>
    <t>7.48</t>
  </si>
  <si>
    <t>7.49</t>
  </si>
  <si>
    <t>7.50</t>
  </si>
  <si>
    <t>7.51</t>
  </si>
  <si>
    <t>7.52</t>
  </si>
  <si>
    <t>7.53</t>
  </si>
  <si>
    <t>7.54</t>
  </si>
  <si>
    <t>7.55</t>
  </si>
  <si>
    <t>7.56</t>
  </si>
  <si>
    <t>7.57</t>
  </si>
  <si>
    <t>7.58</t>
  </si>
  <si>
    <t>7.59</t>
  </si>
  <si>
    <t>7.60</t>
  </si>
  <si>
    <t>7.61</t>
  </si>
  <si>
    <t>7.62</t>
  </si>
  <si>
    <t>7.63</t>
  </si>
  <si>
    <t>7.64</t>
  </si>
  <si>
    <t>7.65</t>
  </si>
  <si>
    <t>7.66</t>
  </si>
  <si>
    <t>7.67</t>
  </si>
  <si>
    <t>7.68</t>
  </si>
  <si>
    <t>7.69</t>
  </si>
  <si>
    <t>7.70</t>
  </si>
  <si>
    <t>7.71</t>
  </si>
  <si>
    <t>7.72</t>
  </si>
  <si>
    <t>7.73</t>
  </si>
  <si>
    <t>7.74</t>
  </si>
  <si>
    <t>7.75</t>
  </si>
  <si>
    <t>7.76</t>
  </si>
  <si>
    <t>7.77</t>
  </si>
  <si>
    <t>7.78</t>
  </si>
  <si>
    <t>7.79</t>
  </si>
  <si>
    <t>7.80</t>
  </si>
  <si>
    <t>7.81</t>
  </si>
  <si>
    <t>7.82</t>
  </si>
  <si>
    <t>7.83</t>
  </si>
  <si>
    <t>7.84</t>
  </si>
  <si>
    <t>7.85</t>
  </si>
  <si>
    <t>GRUPO DE SERVIÇO: 171 - INSTALAÇÕES ESPECIAIS</t>
  </si>
  <si>
    <t>INSTALACOES ESPECIAIS</t>
  </si>
  <si>
    <t>PONTO CONSUMO VACUO</t>
  </si>
  <si>
    <t>VALVULA ESP. TRIPARTIDA 1/2</t>
  </si>
  <si>
    <t>CENTRAL DE ALARME</t>
  </si>
  <si>
    <t>SOLDA PRATA</t>
  </si>
  <si>
    <t>PASTA FLUXO</t>
  </si>
  <si>
    <t>CONECTOR DE 1/2 MACHO</t>
  </si>
  <si>
    <t>CENTRAL MANIFOLD DUPLA PARA CILINDROS</t>
  </si>
  <si>
    <t>Cotação</t>
  </si>
  <si>
    <t>ALVENARIA DE TIJOLO FURADO 1/2 VEZ 11,5 X 19 X 19 - ARG. ( 1 CALH:4ARML + 100 KG DECI/M3)</t>
  </si>
  <si>
    <t xml:space="preserve">DIVISORIA DE GRANITO POLIDO </t>
  </si>
  <si>
    <t xml:space="preserve">ELEMENTO VAZADO DE CONCRETO </t>
  </si>
  <si>
    <t>8.1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</si>
  <si>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</si>
  <si>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</si>
  <si>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</si>
  <si>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</si>
  <si>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</si>
  <si>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</si>
  <si>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</si>
  <si>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</si>
  <si>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</si>
  <si>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</si>
  <si>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</si>
  <si>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</si>
  <si>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</si>
  <si>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</si>
  <si>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</si>
  <si>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</si>
  <si>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9.1</t>
  </si>
  <si>
    <t>9.2</t>
  </si>
  <si>
    <t>9.3</t>
  </si>
  <si>
    <t>Alvenaria externa</t>
  </si>
  <si>
    <t xml:space="preserve">   Desconto de portas</t>
  </si>
  <si>
    <t xml:space="preserve">   Desconto de janelas </t>
  </si>
  <si>
    <t xml:space="preserve">   Desconto de vão</t>
  </si>
  <si>
    <t>Alvenaria interna</t>
  </si>
  <si>
    <t>Alvenaria circulação masculina</t>
  </si>
  <si>
    <t xml:space="preserve">Alvenaria Galpão externa </t>
  </si>
  <si>
    <t>2,00*2,00</t>
  </si>
  <si>
    <t>12,40*3,00+32,12*2,00</t>
  </si>
  <si>
    <t>Alvenaria Galpão interna</t>
  </si>
  <si>
    <t>0,80*4,00</t>
  </si>
  <si>
    <t>10*3,00</t>
  </si>
  <si>
    <t>1,60*2,00</t>
  </si>
  <si>
    <t>1,00+6,00*0,80+3,00+2,00*3,50</t>
  </si>
  <si>
    <t>6,00*1,60</t>
  </si>
  <si>
    <t>24*1,80</t>
  </si>
  <si>
    <t>13,00*0,50</t>
  </si>
  <si>
    <t>15,00*1,60</t>
  </si>
  <si>
    <t>3,00*0,50</t>
  </si>
  <si>
    <t>2,00*1,00</t>
  </si>
  <si>
    <t>32,70*2,00+2,54*2,00</t>
  </si>
  <si>
    <t>18,00*0,80</t>
  </si>
  <si>
    <t xml:space="preserve">   Desconto de cobogós</t>
  </si>
  <si>
    <t>32,70*2,00</t>
  </si>
  <si>
    <t>Circulação Masculina</t>
  </si>
  <si>
    <t>Banheiro Masculino</t>
  </si>
  <si>
    <t>Desconto de vão de porta</t>
  </si>
  <si>
    <t>0,90+14,00*0,70</t>
  </si>
  <si>
    <t>Banheiro Feminino</t>
  </si>
  <si>
    <t>6,00*0,70+1,00*0,90</t>
  </si>
  <si>
    <t>0,52*3,00</t>
  </si>
  <si>
    <t>2,00*0,90+6,00*0,70</t>
  </si>
  <si>
    <t>Blocos (1,40x0,50x0,50)</t>
  </si>
  <si>
    <t>Blocos (1,40x0,50x0,55)</t>
  </si>
  <si>
    <t>Blocos (0,50x0,50x0,50)</t>
  </si>
  <si>
    <t>Vigas baldrames</t>
  </si>
  <si>
    <t>Blocos</t>
  </si>
  <si>
    <t xml:space="preserve">ACO CA 50-A - 8,0 MM (5/16") - (OBRAS CIVIS) </t>
  </si>
  <si>
    <t>4.8</t>
  </si>
  <si>
    <t>Peso</t>
  </si>
  <si>
    <t>VERGA/CONTRAVERGA EM CONCRETO ARMADO FCK = 20 MPA</t>
  </si>
  <si>
    <t xml:space="preserve"> m3 </t>
  </si>
  <si>
    <t xml:space="preserve">FORMA- CH.COMPENSADA 12 MM UTILIZAÇÃO 3 VEZES - (OBRAS CIVIS) </t>
  </si>
  <si>
    <t>m2</t>
  </si>
  <si>
    <t xml:space="preserve">ACO CA-50-A - 6,3 MM (1/4") - (OBRAS CIVIS) </t>
  </si>
  <si>
    <t xml:space="preserve">ACO CA-50A - 10,0 MM (3/8") - (OBRAS CIVIS) </t>
  </si>
  <si>
    <t xml:space="preserve">LANÇAMENTO/APLICAÇÃO/ADENSAMENTO DE CONCRETO EM ESTRUTURA - (O.C.) </t>
  </si>
  <si>
    <t xml:space="preserve">PREPARO COM BETONEIRA E TRANSPORTE MANUAL DE CONCRETO FCK=30 MPA </t>
  </si>
  <si>
    <t>FORRO EM LAJE PRE-MOLDADA INC.CAPEAMENTO/FERR.DISTRIB./ESCORAMENTO E FORMA/DESFORMA</t>
  </si>
  <si>
    <t xml:space="preserve">FORMA TABUA PINHO P/FUNDACOES U=3V - (OBRAS CIVIS) </t>
  </si>
  <si>
    <t>4.9</t>
  </si>
  <si>
    <t xml:space="preserve">ACO CA-50A - 12,5 MM (1/2") - (OBRAS CIVIS) </t>
  </si>
  <si>
    <t xml:space="preserve">COMPACTAÇÃO MECÂNICA SEM CONTROLE LABORATÓRIO </t>
  </si>
  <si>
    <t>3.6</t>
  </si>
  <si>
    <t>5.1</t>
  </si>
  <si>
    <t>5.2</t>
  </si>
  <si>
    <t>5.3</t>
  </si>
  <si>
    <t>5.4</t>
  </si>
  <si>
    <t>5.5</t>
  </si>
  <si>
    <t>5.6</t>
  </si>
  <si>
    <t>5.7</t>
  </si>
  <si>
    <t>5.8</t>
  </si>
  <si>
    <t>Vigas (40 x 14)</t>
  </si>
  <si>
    <t>Vigas (20 x 14)</t>
  </si>
  <si>
    <t xml:space="preserve">Largura </t>
  </si>
  <si>
    <t>Pilares (14 x 30)</t>
  </si>
  <si>
    <t>Pilares (14 x 40)</t>
  </si>
  <si>
    <t>3,98+8,42+2,82+1,88</t>
  </si>
  <si>
    <t>13,00*1,35</t>
  </si>
  <si>
    <t>3,98+2,82+2,82</t>
  </si>
  <si>
    <t>6,00*1,35</t>
  </si>
  <si>
    <t>2,94+3,42+2,94+3,42</t>
  </si>
  <si>
    <t>6,00*1,30</t>
  </si>
  <si>
    <t>Vigas</t>
  </si>
  <si>
    <t>Pilares</t>
  </si>
  <si>
    <t>Vigas (40x 14)</t>
  </si>
  <si>
    <t xml:space="preserve">Volume </t>
  </si>
  <si>
    <t xml:space="preserve">Porta 0,80 x 2,10 - Verga </t>
  </si>
  <si>
    <t>Porta 1,00 x 2,10 - Verga</t>
  </si>
  <si>
    <t xml:space="preserve">Janelas 0,50 x 0,50 - Verga e Contraverga </t>
  </si>
  <si>
    <t xml:space="preserve">Janelas 1,60 x 0,50 - Verga e Contraverga </t>
  </si>
  <si>
    <t xml:space="preserve">Janelas 1,60 x 1,10 - Verga e Contraverga </t>
  </si>
  <si>
    <t xml:space="preserve">Janelas 1,70 x 1,10 - Verga e Contraverga </t>
  </si>
  <si>
    <t xml:space="preserve">Janelas 1,80 x 1,10 - Verga e Contraverga </t>
  </si>
  <si>
    <t xml:space="preserve">Janelas 3,00 x 0,50 - Verga e Contraverga </t>
  </si>
  <si>
    <t>0,20+0,80+0,20</t>
  </si>
  <si>
    <t>1,00*2,00</t>
  </si>
  <si>
    <t>0,20+1,00+0,20</t>
  </si>
  <si>
    <t>1,00*4,00</t>
  </si>
  <si>
    <t>1,00*65,00</t>
  </si>
  <si>
    <t>Porta 3,00 x 2,10 - Verga</t>
  </si>
  <si>
    <t>1,00*1,00</t>
  </si>
  <si>
    <t>0,20+3,00+0,20</t>
  </si>
  <si>
    <t>Porta 2,50x 2,10 - Verga</t>
  </si>
  <si>
    <t>0,20+2,50+0,20</t>
  </si>
  <si>
    <t>Porta 3,50x 2,10 - Verga</t>
  </si>
  <si>
    <t>0,20+3,50+0,20</t>
  </si>
  <si>
    <t>2,00*16,00</t>
  </si>
  <si>
    <t>2,00*15,00</t>
  </si>
  <si>
    <t>0,20+1,60+0,20</t>
  </si>
  <si>
    <t>0,20+1,70+0,20</t>
  </si>
  <si>
    <t>0,20+1,80+0,20</t>
  </si>
  <si>
    <t>2,00*23,00</t>
  </si>
  <si>
    <t>2,00*24,00</t>
  </si>
  <si>
    <t>2,00*10,00</t>
  </si>
  <si>
    <t xml:space="preserve">IMPERMEABILIZACAO-C/CIMENTO CRISTALIZANTE 3 DEMAOS </t>
  </si>
  <si>
    <t xml:space="preserve">IMPERMEABILIZACAO VIGAS BALDRAMES E=2,0 CM </t>
  </si>
  <si>
    <t xml:space="preserve">IMPERMEABILIZAÇÃO-REBAIXO BANHEIRO COM 4 DEMÃOS DE EMULSÃO ASFÁLTICA </t>
  </si>
  <si>
    <t>10.1</t>
  </si>
  <si>
    <t>10.2</t>
  </si>
  <si>
    <t>10.3</t>
  </si>
  <si>
    <t>Vigas baldrame</t>
  </si>
  <si>
    <t xml:space="preserve">Piscina - Fundo </t>
  </si>
  <si>
    <t xml:space="preserve">Pisicna - Laterais </t>
  </si>
  <si>
    <t>5.9</t>
  </si>
  <si>
    <t>ACO CA-50 A - 8,0 MM (5/16") - (OBRAS CIVIS)</t>
  </si>
  <si>
    <t>Vigas (20x40)</t>
  </si>
  <si>
    <t>2,00*20,00</t>
  </si>
  <si>
    <t>2,00*78,00</t>
  </si>
  <si>
    <t>2,00*51,00</t>
  </si>
  <si>
    <t>Pilares (14 x 30) h= 4,70</t>
  </si>
  <si>
    <t>Pilares (14 x 30) h= 4,30</t>
  </si>
  <si>
    <t>Pilares (14 x 30) h= 3,00</t>
  </si>
  <si>
    <t>Pilares (14 x 40) h= 3,00</t>
  </si>
  <si>
    <t>24,98*2,00+12,37*2,00</t>
  </si>
  <si>
    <t>Morgue</t>
  </si>
  <si>
    <t>Banheiro masculino vestiário</t>
  </si>
  <si>
    <t>Banheiro feminino vestiario</t>
  </si>
  <si>
    <t xml:space="preserve">Banheiro especial </t>
  </si>
  <si>
    <t>Banheiro masculino recepção</t>
  </si>
  <si>
    <t xml:space="preserve">Banheiro feminino recepção </t>
  </si>
  <si>
    <t>Banheiro plantonista</t>
  </si>
  <si>
    <t xml:space="preserve">Banheiro consultorio clinica geral </t>
  </si>
  <si>
    <t>Banheiro acompanhante feminino</t>
  </si>
  <si>
    <t>Banheiro Acompanhante masculino</t>
  </si>
  <si>
    <t>Banheiro feminino</t>
  </si>
  <si>
    <t>Lavanderia</t>
  </si>
  <si>
    <t>Cozinha</t>
  </si>
  <si>
    <t xml:space="preserve">Banheiro vestiário </t>
  </si>
  <si>
    <t>Banheiro masculino refeitorio</t>
  </si>
  <si>
    <t>Banheiro feminino refeitorio</t>
  </si>
  <si>
    <t xml:space="preserve">Banheiro Consultorio Nutricionista </t>
  </si>
  <si>
    <t>Copa/cozinha</t>
  </si>
  <si>
    <t>Banheiro masculino Galpão</t>
  </si>
  <si>
    <t>Banheiro feminino Galpão</t>
  </si>
  <si>
    <t xml:space="preserve">ESTRUT.-TELHA DE FIBROCIMENTO (C/TESOURA) C/FERRAGENS </t>
  </si>
  <si>
    <t>11.1</t>
  </si>
  <si>
    <t>10.</t>
  </si>
  <si>
    <t xml:space="preserve">Clinica de dependentes </t>
  </si>
  <si>
    <t>ESTRUTURA METÁLICA CONVENCIONAL EM AÇO DO TIPO MR-250 / ASTM A36 COM FUNDO ANTICORROSIVO</t>
  </si>
  <si>
    <t>COBERTURA COM TELHA ONDULADA OU EQUIV.</t>
  </si>
  <si>
    <t xml:space="preserve">CUMEEIRA PARA TELHA ONDULADA OU EQUIV. </t>
  </si>
  <si>
    <t xml:space="preserve">CALHA DE CHAPA GALVANIZADA </t>
  </si>
  <si>
    <t>CALHA DE CHAPA GALVANIZADA</t>
  </si>
  <si>
    <t xml:space="preserve">RUFO DE CHAPA GALVANIZADA </t>
  </si>
  <si>
    <t xml:space="preserve"> CUMEEIRA PARA TELHA GALVANIZADA TRAPEZOIDAL 0,5 MM </t>
  </si>
  <si>
    <t>FECHAMENTO LATERAL COM TELHA GALVANIZADA TRAPEZOIDAL 0,43 MM COM ACESSÓRIOS</t>
  </si>
  <si>
    <t xml:space="preserve">
m2 </t>
  </si>
  <si>
    <t>TELHAMENTO COM TELHA METÁLICA TERMOACÚSTICA E = 30 MM, COM ATÉ 2 ÁGUAS  , INCLUSO IÇAMENTO. AF_07/2019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</si>
  <si>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</si>
  <si>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</si>
  <si>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</si>
  <si>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</si>
  <si>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</si>
  <si>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</si>
  <si>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</si>
  <si>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</si>
  <si>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</si>
  <si>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12.1</t>
  </si>
  <si>
    <t>31,70+6,20+32,70</t>
  </si>
  <si>
    <t>37*0,80+3,00*1,00</t>
  </si>
  <si>
    <t>31,70+49,45+6,20+36,35+32,70+9,84+17,60</t>
  </si>
  <si>
    <t xml:space="preserve">Refeitorio </t>
  </si>
  <si>
    <t xml:space="preserve">Galpão </t>
  </si>
  <si>
    <t>32,12+32,12</t>
  </si>
  <si>
    <t>25,55+25,55</t>
  </si>
  <si>
    <t xml:space="preserve">Pingadeira </t>
  </si>
  <si>
    <t>0,02+0,15+0,02</t>
  </si>
  <si>
    <t>7,15+3,50+11,40+7,15+10,80+6,19+3,50+3,50+3,50+3,50+9,84+3,98+3,98+6,50+6,50+33,18+17,60+3,98+3,98</t>
  </si>
  <si>
    <t>Circulação</t>
  </si>
  <si>
    <t xml:space="preserve">ACO CA - 60 - 5,0 MM - (OBRAS CIVIS) </t>
  </si>
  <si>
    <t>7.86</t>
  </si>
  <si>
    <t>7.87</t>
  </si>
  <si>
    <t>7.88</t>
  </si>
  <si>
    <t>7.89</t>
  </si>
  <si>
    <t>7.90</t>
  </si>
  <si>
    <t>7.91</t>
  </si>
  <si>
    <t>7.92</t>
  </si>
  <si>
    <t>7.93</t>
  </si>
  <si>
    <t>7.94</t>
  </si>
  <si>
    <t>7.95</t>
  </si>
  <si>
    <t>7.96</t>
  </si>
  <si>
    <t>7.97</t>
  </si>
  <si>
    <t>7.98</t>
  </si>
  <si>
    <t>7.99</t>
  </si>
  <si>
    <t>7.100</t>
  </si>
  <si>
    <t>7.101</t>
  </si>
  <si>
    <t>7.102</t>
  </si>
  <si>
    <t>7.103</t>
  </si>
  <si>
    <t>7.104</t>
  </si>
  <si>
    <t>7.105</t>
  </si>
  <si>
    <t>7.106</t>
  </si>
  <si>
    <t>7.107</t>
  </si>
  <si>
    <t>7.108</t>
  </si>
  <si>
    <t>7.109</t>
  </si>
  <si>
    <t>7.110</t>
  </si>
  <si>
    <t>7.111</t>
  </si>
  <si>
    <t>7.112</t>
  </si>
  <si>
    <t>7.113</t>
  </si>
  <si>
    <t xml:space="preserve">CHAPISCO COMUM </t>
  </si>
  <si>
    <t xml:space="preserve">PASTILHA PORCELANA C/ARGAMASSA FLEXIVEL </t>
  </si>
  <si>
    <t xml:space="preserve">REVESTIMENTO COM CERÂMICA </t>
  </si>
  <si>
    <t>17.1</t>
  </si>
  <si>
    <t>17.2</t>
  </si>
  <si>
    <t>17.3</t>
  </si>
  <si>
    <t>17.4</t>
  </si>
  <si>
    <t>17.5</t>
  </si>
  <si>
    <t>Quantidade de faces</t>
  </si>
  <si>
    <t xml:space="preserve">Piscina - Laterais </t>
  </si>
  <si>
    <t>9,84+3,98+9,84+3,98</t>
  </si>
  <si>
    <t xml:space="preserve">   Desconto de vão de porta</t>
  </si>
  <si>
    <t xml:space="preserve">   Desconto de vão de janela </t>
  </si>
  <si>
    <t>3,00*1,60</t>
  </si>
  <si>
    <t>Banheiro Masculino - Vestiário</t>
  </si>
  <si>
    <t>1,68+2,00+1,68+2,00</t>
  </si>
  <si>
    <t>Banheiro Feminino - Vestiário</t>
  </si>
  <si>
    <t xml:space="preserve">Banheiro Especial </t>
  </si>
  <si>
    <t>3,50+1,68+3,50+1,68</t>
  </si>
  <si>
    <t>Banheiro apartamento acompanhante masc.</t>
  </si>
  <si>
    <t>Expurgo</t>
  </si>
  <si>
    <t>2,00*0,80</t>
  </si>
  <si>
    <t xml:space="preserve">   Desconto de vão </t>
  </si>
  <si>
    <t>Farmacia</t>
  </si>
  <si>
    <t>Banheiro masculino - recepção</t>
  </si>
  <si>
    <t>Banheiro feminino - recepção</t>
  </si>
  <si>
    <t>Banheiro Consultorio Clinico geral</t>
  </si>
  <si>
    <t xml:space="preserve">Consultorio psicologia </t>
  </si>
  <si>
    <t>3,50+2,95+3,50+2,95</t>
  </si>
  <si>
    <t xml:space="preserve">Consultorio assistencia social </t>
  </si>
  <si>
    <t>Consultorio Psiquitria</t>
  </si>
  <si>
    <t xml:space="preserve">Consultorio terapia ocupacional </t>
  </si>
  <si>
    <t>Consultorio clinico geral</t>
  </si>
  <si>
    <t>2,95+3,50+2,95+3,50</t>
  </si>
  <si>
    <t>Banheiro apartamento acompanhante fem.</t>
  </si>
  <si>
    <t>1,45+2,35+1,45+2,35</t>
  </si>
  <si>
    <t>6,50+3,98+6,50+3,98</t>
  </si>
  <si>
    <t xml:space="preserve">Deposito </t>
  </si>
  <si>
    <t>5,41+3,98+5,41+3,98</t>
  </si>
  <si>
    <t>4,00*0,80</t>
  </si>
  <si>
    <t>2,00*1,60</t>
  </si>
  <si>
    <t>Banheiro vestiário</t>
  </si>
  <si>
    <t>Banheiro masculino - Refeitorio</t>
  </si>
  <si>
    <t>Banheiro feminino - Refeitorio</t>
  </si>
  <si>
    <t>Banheiro consultorio nutricionista</t>
  </si>
  <si>
    <t>Banheiro masculino - Galpão</t>
  </si>
  <si>
    <t>Banheiro feminino - Galpão</t>
  </si>
  <si>
    <t>5,93+2,94+5,93+2,94</t>
  </si>
  <si>
    <t>Consultorio nutricionista</t>
  </si>
  <si>
    <t>2,70+3,98+2,70+3,98</t>
  </si>
  <si>
    <t>Item 17.5</t>
  </si>
  <si>
    <t xml:space="preserve">PORTA LISA 80x210 C/PORTAL E ALISAR S/FERRAGENS </t>
  </si>
  <si>
    <t>PORTA LISA 100X210 COM PORTAL E ALISAR SEM FERRAGENS</t>
  </si>
  <si>
    <t>14.1</t>
  </si>
  <si>
    <t>14.2</t>
  </si>
  <si>
    <t>Banheiro masculino - dormitórios</t>
  </si>
  <si>
    <t>Dormitório masculino 1</t>
  </si>
  <si>
    <t xml:space="preserve">Dormitório masculino 2 </t>
  </si>
  <si>
    <t>Dormitório masculino 3</t>
  </si>
  <si>
    <t>Dormitório masculino 4</t>
  </si>
  <si>
    <t>Dormitório masculino 5</t>
  </si>
  <si>
    <t>Dormitório masculino 6</t>
  </si>
  <si>
    <t>Dormitório masculino 7</t>
  </si>
  <si>
    <t>Dormitório masculino 8</t>
  </si>
  <si>
    <t>Dormitório masculino 9</t>
  </si>
  <si>
    <t>Dormitório masculino 10</t>
  </si>
  <si>
    <t>Dormitório masculino 11</t>
  </si>
  <si>
    <t>Dormitório masculino 12</t>
  </si>
  <si>
    <t>Dormitório masculino 13</t>
  </si>
  <si>
    <t>Dormitório masculino 14</t>
  </si>
  <si>
    <t>Dormitório masculino 15</t>
  </si>
  <si>
    <t>Dormitório masculino 16</t>
  </si>
  <si>
    <t xml:space="preserve">Vestiário masculino </t>
  </si>
  <si>
    <t>Banheiro - vestiário masculino</t>
  </si>
  <si>
    <t>Vestiário feminino</t>
  </si>
  <si>
    <t xml:space="preserve">Banheiro - vestiário feminino </t>
  </si>
  <si>
    <t>Apartamento com acompanhante - masculino</t>
  </si>
  <si>
    <t xml:space="preserve">Banheiro - apartamento com acompanhante masculino </t>
  </si>
  <si>
    <t xml:space="preserve">Banheiro especial - enfermaria </t>
  </si>
  <si>
    <t xml:space="preserve">Expurgo </t>
  </si>
  <si>
    <t xml:space="preserve">Adm. Financeiro </t>
  </si>
  <si>
    <t xml:space="preserve">Sala farmaceutico </t>
  </si>
  <si>
    <t xml:space="preserve">Farmácia </t>
  </si>
  <si>
    <t xml:space="preserve">Copa/ Cozinha </t>
  </si>
  <si>
    <t>Banheiro masculino - recepção e consultórios</t>
  </si>
  <si>
    <t>Banheiro feminino - recepção e consultórios</t>
  </si>
  <si>
    <t xml:space="preserve">Quarto plantonista </t>
  </si>
  <si>
    <t xml:space="preserve">Banheiro - quarto plantonista </t>
  </si>
  <si>
    <t>Consultório clinico geral</t>
  </si>
  <si>
    <t xml:space="preserve">Banheiro - consultorio clinico geral </t>
  </si>
  <si>
    <t>Sala reunião / trabalho em grupo</t>
  </si>
  <si>
    <t>Consultório terapia ocupacional</t>
  </si>
  <si>
    <t>Consultório psiquiatria</t>
  </si>
  <si>
    <t xml:space="preserve">Consultório assistência social </t>
  </si>
  <si>
    <t xml:space="preserve">Consultório psicologia </t>
  </si>
  <si>
    <t xml:space="preserve">Apartamento com acompanhante - feminino </t>
  </si>
  <si>
    <t xml:space="preserve">Banheiro - apartamento com acompanhante feminino </t>
  </si>
  <si>
    <t>Banheiro feminino - dormitórios</t>
  </si>
  <si>
    <t>Dormitório feminino 1</t>
  </si>
  <si>
    <t>Dormitório feminino 2</t>
  </si>
  <si>
    <t>Dormitório feminino 3</t>
  </si>
  <si>
    <t>Dormitório feminino 4</t>
  </si>
  <si>
    <t>Dormitório feminino 5</t>
  </si>
  <si>
    <t>Dormitório feminino 6</t>
  </si>
  <si>
    <t>Dormitório feminino 7</t>
  </si>
  <si>
    <t>Banheiro - consultório nutricionista</t>
  </si>
  <si>
    <t>Banheiro - vestiário cozinha</t>
  </si>
  <si>
    <t xml:space="preserve">Vestiário - cozinha </t>
  </si>
  <si>
    <t xml:space="preserve">Lavanderia </t>
  </si>
  <si>
    <t xml:space="preserve">Depósito - cozinha </t>
  </si>
  <si>
    <t xml:space="preserve">Sala multiuso/ auditório </t>
  </si>
  <si>
    <t xml:space="preserve">Enfermaria </t>
  </si>
  <si>
    <t xml:space="preserve"> PORTA DE ABRIR ALUMÍNIO ANODIZADO EM VENEZIANA C/FERRAGENS (M.O.FAB.INC.MAT.) </t>
  </si>
  <si>
    <t>ESQ.DE CORRER CHAPA/VIDRO J9/J10/J12/J13 C/FERRAGENS</t>
  </si>
  <si>
    <t xml:space="preserve"> m2</t>
  </si>
  <si>
    <t xml:space="preserve">ESQ.VENEZIANA CHAPA/VIDRO J11 e J16 C/FERRAGENS </t>
  </si>
  <si>
    <t xml:space="preserve"> ESQ.MAXIMO AR CHAPA/VIDRO J1/J2/J7/J15 C/FERRAGENS </t>
  </si>
  <si>
    <t>ESQUADRIA BASCULANTE EM CHAPA J17, J18 e J19 C/FERRAGENS</t>
  </si>
  <si>
    <t xml:space="preserve"> PORTA DE CORRER/VIDRO (4) FOLHAS PF-6 C/ FERRAGENS </t>
  </si>
  <si>
    <t xml:space="preserve"> PORTA ABRIR CH.P/WC PF-10 C/FERRAGENS </t>
  </si>
  <si>
    <t>15.1</t>
  </si>
  <si>
    <t>15.2</t>
  </si>
  <si>
    <t>15.3</t>
  </si>
  <si>
    <t>15.4</t>
  </si>
  <si>
    <t>15.5</t>
  </si>
  <si>
    <t>15.6</t>
  </si>
  <si>
    <t>15.7</t>
  </si>
  <si>
    <t>15.8</t>
  </si>
  <si>
    <t>15.9</t>
  </si>
  <si>
    <t xml:space="preserve">Consultório nutricionista </t>
  </si>
  <si>
    <t>Banheiro feminino - refeitório</t>
  </si>
  <si>
    <t xml:space="preserve">Banheiro masculino - refeitório </t>
  </si>
  <si>
    <t xml:space="preserve">Cozinha - refeitório </t>
  </si>
  <si>
    <t>Banheiro masculino - galpão</t>
  </si>
  <si>
    <t>2* 0,80</t>
  </si>
  <si>
    <t>Banheiro feminino - galpão</t>
  </si>
  <si>
    <t>2* 1,00</t>
  </si>
  <si>
    <t xml:space="preserve">Total </t>
  </si>
  <si>
    <t xml:space="preserve">Corredor - dormitório feminino </t>
  </si>
  <si>
    <t>7 * 1,60</t>
  </si>
  <si>
    <t xml:space="preserve">Consultório clinico geral </t>
  </si>
  <si>
    <t>Quarto plantonista</t>
  </si>
  <si>
    <t xml:space="preserve">Copa/ cozinha </t>
  </si>
  <si>
    <t>2* 1,60</t>
  </si>
  <si>
    <t xml:space="preserve">Deposito- cozinha </t>
  </si>
  <si>
    <t xml:space="preserve">Consultório psiquiatria </t>
  </si>
  <si>
    <t xml:space="preserve">Consultório terapia ocupacional </t>
  </si>
  <si>
    <t xml:space="preserve">Sala reunião/ trabalho em grupo </t>
  </si>
  <si>
    <t>3*1,60</t>
  </si>
  <si>
    <t xml:space="preserve">Apartamento com acompanhante - masculino </t>
  </si>
  <si>
    <t>Dormitório masculino 2</t>
  </si>
  <si>
    <t>4*1,80</t>
  </si>
  <si>
    <t xml:space="preserve">Sala farmacêutico </t>
  </si>
  <si>
    <t xml:space="preserve">Sala multiuso - auditorio </t>
  </si>
  <si>
    <t>2 *1,80</t>
  </si>
  <si>
    <t>10* 3,00</t>
  </si>
  <si>
    <t xml:space="preserve">Banheiro masculino - dormitórios </t>
  </si>
  <si>
    <t xml:space="preserve">Banheiro feminino - dormitórios </t>
  </si>
  <si>
    <t>2*1,60</t>
  </si>
  <si>
    <t xml:space="preserve">Morgue </t>
  </si>
  <si>
    <t>Banheiro feminino - galpao</t>
  </si>
  <si>
    <t>Vestiário masculino</t>
  </si>
  <si>
    <t xml:space="preserve">Vestiário feminino </t>
  </si>
  <si>
    <t>Banheiro masculino - vestiário</t>
  </si>
  <si>
    <t>Banheiro feminino - vestiário</t>
  </si>
  <si>
    <t xml:space="preserve">Banheiro especial - enfermária </t>
  </si>
  <si>
    <t>Banheiro - quarto plantonista</t>
  </si>
  <si>
    <t>Banheiro - consultório clinico geral</t>
  </si>
  <si>
    <t xml:space="preserve">Entrada principal - recepção </t>
  </si>
  <si>
    <t>2 * 2,50</t>
  </si>
  <si>
    <t>14 *0,70</t>
  </si>
  <si>
    <t>6*0,70</t>
  </si>
  <si>
    <t>3*0,70</t>
  </si>
  <si>
    <t>7,15+10,14+44,13+49,74+44,13+6,8+33,37+32,8+40,48+18+18+3,98+3,98</t>
  </si>
  <si>
    <t>18*3,5+3,5+3,5+3,5+3,5+2,2+1,82+17,39+3,5+5,33+2,3+2+3,35*3+3*3,5+5*3,5+22,05+3,65*3+15,4+1,75+2,36+7,15+2,35+1,6+1,15+7*3,5+27,45+6,5+3,5+3,98*5+3,81</t>
  </si>
  <si>
    <t>25,55+25,55+18,00+18,00</t>
  </si>
  <si>
    <t>2,20+1,68+2,20+1,68</t>
  </si>
  <si>
    <t>3,50+3,50+3,50+3,50</t>
  </si>
  <si>
    <t>1,85+2,30+1,85+2,30</t>
  </si>
  <si>
    <t>3,20+3,50+3,20+3,50</t>
  </si>
  <si>
    <t>2,20+3,50+2,20+3,50</t>
  </si>
  <si>
    <t>1,83+1,75+1,83+1,75</t>
  </si>
  <si>
    <t>2,36+1,35+2,36+1,35</t>
  </si>
  <si>
    <t>1,91+3,50+1,91+3,50</t>
  </si>
  <si>
    <t>1,91+1,83+1,91+1,83</t>
  </si>
  <si>
    <t xml:space="preserve">VIDRO LISO 4 MM - COLOCADO </t>
  </si>
  <si>
    <t>16.1</t>
  </si>
  <si>
    <t>16.2</t>
  </si>
  <si>
    <t>Item 15.2;15.3;15;4,15.5;15.6</t>
  </si>
  <si>
    <t xml:space="preserve"> Total</t>
  </si>
  <si>
    <t>Circulação dormitório masculino</t>
  </si>
  <si>
    <t>Circulação dormitório feminino</t>
  </si>
  <si>
    <t>Item 15.7</t>
  </si>
  <si>
    <t xml:space="preserve">PORTAO DE ABRIR CHAPA 14 PT-4 C/FERRAGENS </t>
  </si>
  <si>
    <t xml:space="preserve">VIDRO TEMPERADO 10 MM - COLOCADO </t>
  </si>
  <si>
    <t xml:space="preserve">Banheiro Maculino - Vestiario </t>
  </si>
  <si>
    <t xml:space="preserve">Banheiro Feminino - Vestiario </t>
  </si>
  <si>
    <t>Banheiro apartamento acompanhante masculino</t>
  </si>
  <si>
    <t xml:space="preserve">Banheiro - Quarto plantonista </t>
  </si>
  <si>
    <t>Banheiro apartamento acompanhante feminino</t>
  </si>
  <si>
    <t xml:space="preserve">FORRO DE GESSO ACARTONADO PARA ÁREAS SECAS ESPESSURA DE 12,5MM </t>
  </si>
  <si>
    <t xml:space="preserve">GESSO CORRIDO EM TETO </t>
  </si>
  <si>
    <t>18.1</t>
  </si>
  <si>
    <t>18.2</t>
  </si>
  <si>
    <t>Recepção e circulação</t>
  </si>
  <si>
    <t>Dormitório Masculino 01</t>
  </si>
  <si>
    <t>Dormitório Masculino 02</t>
  </si>
  <si>
    <t>Dormitório Masculino 03</t>
  </si>
  <si>
    <t>Dormitório Masculino 04</t>
  </si>
  <si>
    <t>Dormitório Masculino 05</t>
  </si>
  <si>
    <t>Dormitório Masculino 06</t>
  </si>
  <si>
    <t>Dormitório Masculino 07</t>
  </si>
  <si>
    <t>Dormitório Masculino 08</t>
  </si>
  <si>
    <t>Dormitório Masculino 09</t>
  </si>
  <si>
    <t>Dormitório Masculino 10</t>
  </si>
  <si>
    <t>Dormitório Masculino 11</t>
  </si>
  <si>
    <t>Dormitório Masculino 12</t>
  </si>
  <si>
    <t>Dormitório Masculino 13</t>
  </si>
  <si>
    <t>Dormitório Masculino 14</t>
  </si>
  <si>
    <t>Dormitório Masculino 15</t>
  </si>
  <si>
    <t>Dormitório Masculino 16</t>
  </si>
  <si>
    <t>Apartamento acompanhante Masc.</t>
  </si>
  <si>
    <t>Banheiro acompanhante masc.</t>
  </si>
  <si>
    <t>Banheiro especial</t>
  </si>
  <si>
    <t>Sala reunião/trabalho em grupo</t>
  </si>
  <si>
    <t>Banheiro acompanhante fem.</t>
  </si>
  <si>
    <t>Apartamento acompanhante fem.</t>
  </si>
  <si>
    <t>Dormitório feminino 01</t>
  </si>
  <si>
    <t>Dormitório feminino 02</t>
  </si>
  <si>
    <t>Dormitório feminino 03</t>
  </si>
  <si>
    <t>Dormitório feminino 04</t>
  </si>
  <si>
    <t>Dormitório feminino 05</t>
  </si>
  <si>
    <t>Dormitório feminino 06</t>
  </si>
  <si>
    <t>Dormitório feminino 07</t>
  </si>
  <si>
    <t xml:space="preserve">Vestiario </t>
  </si>
  <si>
    <t>Banheiro masculino - refeitorio</t>
  </si>
  <si>
    <t>Banheiro feminino - refeitorio</t>
  </si>
  <si>
    <t>Banheiro - consultorio nutricionista</t>
  </si>
  <si>
    <t xml:space="preserve">FECH.(ALAV.) LAFONTE 6236 E/8766- E17 IMAB OU EQUIV. </t>
  </si>
  <si>
    <t xml:space="preserve">BARRA DE APOIO EM AÇO INOX - 40 CM </t>
  </si>
  <si>
    <t xml:space="preserve">BARRA DE APOIO EM AÇO INOX - 80 CM </t>
  </si>
  <si>
    <t xml:space="preserve">DOBRADICA 3" x 3 1/2" FERRO POLIDO </t>
  </si>
  <si>
    <t>20.1</t>
  </si>
  <si>
    <t>20.2</t>
  </si>
  <si>
    <t>20.3</t>
  </si>
  <si>
    <t>20.4</t>
  </si>
  <si>
    <t>Portas de 0,80 x 2,10</t>
  </si>
  <si>
    <t>Portas de 1,00 x 2,10</t>
  </si>
  <si>
    <t>55,00 * 3,00</t>
  </si>
  <si>
    <t>2,00 *3,00</t>
  </si>
  <si>
    <t xml:space="preserve">LASTRO DE BRITA - (OBRAS CIVIS) </t>
  </si>
  <si>
    <t>5.10</t>
  </si>
  <si>
    <t>5.11</t>
  </si>
  <si>
    <t xml:space="preserve">Passagem ao redor da piscina </t>
  </si>
  <si>
    <t>Espessura</t>
  </si>
  <si>
    <t>5.12</t>
  </si>
  <si>
    <t>Piscina - Laterais</t>
  </si>
  <si>
    <t>Piscina ( laterais)</t>
  </si>
  <si>
    <t>12,65+12,65+25,20+25,20+8,00*1,20</t>
  </si>
  <si>
    <t>25,20*12,65*0,20</t>
  </si>
  <si>
    <t xml:space="preserve"> ENGENHEIRO - (OBRAS CIVIS) </t>
  </si>
  <si>
    <t xml:space="preserve">H </t>
  </si>
  <si>
    <t xml:space="preserve">MESTRE DE OBRA - (OBRAS CIVIS) </t>
  </si>
  <si>
    <t xml:space="preserve">ENCARREGADO - (OBRAS CIVIS) </t>
  </si>
  <si>
    <t>H</t>
  </si>
  <si>
    <t xml:space="preserve">VIGIA DE OBRAS - (NOTURNO E NO SÁBADO/DOMINGO DIURNO) - O.C. </t>
  </si>
  <si>
    <t>21.1</t>
  </si>
  <si>
    <t>21.2</t>
  </si>
  <si>
    <t>21.3</t>
  </si>
  <si>
    <t>21.4</t>
  </si>
  <si>
    <t xml:space="preserve">Dias </t>
  </si>
  <si>
    <t xml:space="preserve">Horas </t>
  </si>
  <si>
    <t xml:space="preserve">CAIAÇAO 2 DEMAOS EM POSTE/ VIGAS E MEIO FIO(OC) </t>
  </si>
  <si>
    <t xml:space="preserve">FUNDO ANTICORROSIVO PARA ESQUADRIAS METÁLICAS </t>
  </si>
  <si>
    <t xml:space="preserve">EMASSAMENTO COM MASSA PVA DUAS DEMAOS </t>
  </si>
  <si>
    <t xml:space="preserve">PINTURA ESMALTE 1 DEMÃO EM PAREDE SEM SELADOR </t>
  </si>
  <si>
    <t xml:space="preserve">PINTURA LATEX ACRILICA 2 DEMAOS C/SELADOR </t>
  </si>
  <si>
    <t xml:space="preserve">PINTURA LATEX DUAS DEMAOS COM SELADOR </t>
  </si>
  <si>
    <t xml:space="preserve">PINTURA ESMALTE ALQUIDICO ESTR.METALICA 2 DEMAOS </t>
  </si>
  <si>
    <t xml:space="preserve">DEMARC.QUADRA/VAGAS TINTA POLIESPORTIVA </t>
  </si>
  <si>
    <t xml:space="preserve">PINT.POLIESPORTIVA - 2 DEM.(PISOS E CIMENTADOS) </t>
  </si>
  <si>
    <t>Subtotal x 2 faces</t>
  </si>
  <si>
    <t>Subtotal</t>
  </si>
  <si>
    <t>22.1</t>
  </si>
  <si>
    <t>22.2</t>
  </si>
  <si>
    <t>22.3</t>
  </si>
  <si>
    <t>22.4</t>
  </si>
  <si>
    <t>22.5</t>
  </si>
  <si>
    <t>22.6</t>
  </si>
  <si>
    <t>22.7</t>
  </si>
  <si>
    <t>22.8</t>
  </si>
  <si>
    <t>22.9</t>
  </si>
  <si>
    <t>Subtotal x 1 faces</t>
  </si>
  <si>
    <t>7,40+2,00+2,45+1,50+3,50+3,65+335+3,80+3,00+3,50+2,49+1,75+3,81+1,75+3,23+1,14+2,84+1,14+3,04+3,50+15,41+3,65</t>
  </si>
  <si>
    <t>12,0,80+2,00*1,00+3,00*1,00</t>
  </si>
  <si>
    <t xml:space="preserve">   Desconto de janelas</t>
  </si>
  <si>
    <t xml:space="preserve">Sala multiuso/ auditorio </t>
  </si>
  <si>
    <t xml:space="preserve">Desconto de vão de janela </t>
  </si>
  <si>
    <t xml:space="preserve">Circulação masculina </t>
  </si>
  <si>
    <t>2,54+32,70+2,54+32,70</t>
  </si>
  <si>
    <t>Desconto de vão</t>
  </si>
  <si>
    <t>Pintura esmalte - item 22.6</t>
  </si>
  <si>
    <t>Revestimento cerâmico - item 17.5</t>
  </si>
  <si>
    <t>Pintura de teto - item 18.1  e 18.2</t>
  </si>
  <si>
    <t>PINTURA ESMALTE SINTETICO 2 DEMÃOS EM ESQ. MADEIRA</t>
  </si>
  <si>
    <t xml:space="preserve"> PINTURA ESMALTE 1 DEMÃO ESQUADRIA METALICA S/FUNDO ANTICORR.</t>
  </si>
  <si>
    <t>22.10</t>
  </si>
  <si>
    <t>22.11</t>
  </si>
  <si>
    <t>Faces</t>
  </si>
  <si>
    <t>Item 15.1</t>
  </si>
  <si>
    <t>Item 15.2</t>
  </si>
  <si>
    <t>Item 15.3</t>
  </si>
  <si>
    <t>Item 15.4</t>
  </si>
  <si>
    <t>Item 15.5</t>
  </si>
  <si>
    <t>Item 15.6</t>
  </si>
  <si>
    <t>Item 15.8</t>
  </si>
  <si>
    <t>Item 15.9</t>
  </si>
  <si>
    <t xml:space="preserve"> PASSEIO PROTECAO EM CONC.DESEMPEN.5 CM 1:2,5:3,5 ( INCLUSO ESPELHO DE 30CM/ESCAVAÇÃO/REATERRO/APILOAMENTO/ATERRO INTERNO)</t>
  </si>
  <si>
    <t xml:space="preserve">GRANITINA 8MM FUNDIDA COM CONTRAPISO (1CI:3ARML) E=2CM E JUNTA PLASTICA 27MM </t>
  </si>
  <si>
    <t xml:space="preserve">RODAPÉ FUNDIDO DE GRANITINA 7CM </t>
  </si>
  <si>
    <t xml:space="preserve">Faces </t>
  </si>
  <si>
    <t xml:space="preserve">LASTRO DE CONCRETO REGULARIZADO SEM IMPERMEAB. 1:3:6 ESP= 5CM (BASE) </t>
  </si>
  <si>
    <t xml:space="preserve">CIMENT.LISO IMP.NATURAL E=2CM C/JUNTA PL.1CI:3ARMG </t>
  </si>
  <si>
    <t>19.1</t>
  </si>
  <si>
    <t>19.2</t>
  </si>
  <si>
    <t>19.3</t>
  </si>
  <si>
    <t>19.4</t>
  </si>
  <si>
    <t>19.5</t>
  </si>
  <si>
    <t>Contorno clinica  (Largura = 1,20m)</t>
  </si>
  <si>
    <t>Contorno quadra poliesportiva  (Largura = 1,20m)</t>
  </si>
  <si>
    <t>Contorno Campo de Futebol (Largura = 1,20m)</t>
  </si>
  <si>
    <t>Contorno galpão  (Largura = 1,20m)</t>
  </si>
  <si>
    <t xml:space="preserve">Circulação - ala masculina </t>
  </si>
  <si>
    <t>Enfermaria</t>
  </si>
  <si>
    <t>Adm. Financeiro</t>
  </si>
  <si>
    <t>Sala farmaceutico</t>
  </si>
  <si>
    <t>Farmácia</t>
  </si>
  <si>
    <t>Recepção</t>
  </si>
  <si>
    <t>Circulação - recepção</t>
  </si>
  <si>
    <t>Sala multiuso/ auditório</t>
  </si>
  <si>
    <t xml:space="preserve">Consultório assitencia social </t>
  </si>
  <si>
    <t xml:space="preserve">Circulação - consultórios </t>
  </si>
  <si>
    <t>Dormitório 1</t>
  </si>
  <si>
    <t>Dormitório 2</t>
  </si>
  <si>
    <t>Dormitório 3</t>
  </si>
  <si>
    <t>Dormitório 4</t>
  </si>
  <si>
    <t>Dormitório 5</t>
  </si>
  <si>
    <t>Dormitório 6</t>
  </si>
  <si>
    <t>Dormitório 7</t>
  </si>
  <si>
    <t xml:space="preserve">Circulação - ala feminina </t>
  </si>
  <si>
    <t>Consultório nutricionista</t>
  </si>
  <si>
    <t>Refeitório</t>
  </si>
  <si>
    <t xml:space="preserve">  Desconto portas </t>
  </si>
  <si>
    <t>Quadra poliesportiva</t>
  </si>
  <si>
    <t>PLANTIO GRAMA BATATAIS PLACA C/ M.O. IRRIG.P/CAMPO FUTEBOL (ADUBO/ROLO/ETC) (OC) A&lt;11.000M2</t>
  </si>
  <si>
    <t xml:space="preserve">PLANTIO GRAMA BATATAIS PLACA C/ M.O. IRRIG.ADUBO,TER.VEG.(OC) A&lt;11.000M2 </t>
  </si>
  <si>
    <t xml:space="preserve"> LIMPEZA FINAL DE OBRA - (OBRAS CIVIS) </t>
  </si>
  <si>
    <t xml:space="preserve">ALAMBRADO COM POSTE DE CONCRETO E CINTA ARMADA PD. GOINFRA </t>
  </si>
  <si>
    <t>PLACA DE INAUGURAÇÃO EM DURALUMÍNIO 80 X 60 CM</t>
  </si>
  <si>
    <t>TABELA PARA BASQUETE ESTRUTURA METÁLICA E COMPENSADO (ASSENT./PINTADAS)ARO METÁLICO - 2 UNID.</t>
  </si>
  <si>
    <t xml:space="preserve">CJ </t>
  </si>
  <si>
    <t>TRAVES EM FERRO GALVANIZADO PARA CAMPO DE FUTEBOL (ASSENT./PINTADAS) 7,32X2,44M - 2 UNID.</t>
  </si>
  <si>
    <t>CJ</t>
  </si>
  <si>
    <t xml:space="preserve">MEIO FIO COM SARJETA - MFC02 (AC/BC) </t>
  </si>
  <si>
    <t xml:space="preserve"> LETRA CAIXA INOX ESCOVADO COLOCADA </t>
  </si>
  <si>
    <t xml:space="preserve">CONJUNTO PARA VOLEIBOL EM FERRO GALVANIZADO COM PINTURA (2 SUPORTES) </t>
  </si>
  <si>
    <t>BANCO DE CONCRETO POLIDO BASE EM ALVENARIA REBOCADA E PINTADA - PADRÃO GOINFRA</t>
  </si>
  <si>
    <t xml:space="preserve">SUPORTE PARA BANCADA EM FERRO "T" 1/8" X 1 1/4" </t>
  </si>
  <si>
    <t>23.1</t>
  </si>
  <si>
    <t>23.2</t>
  </si>
  <si>
    <t>23.3</t>
  </si>
  <si>
    <t>23.4</t>
  </si>
  <si>
    <t>23.5</t>
  </si>
  <si>
    <t>23.6</t>
  </si>
  <si>
    <t>23.7</t>
  </si>
  <si>
    <t>23.8</t>
  </si>
  <si>
    <t>23.9</t>
  </si>
  <si>
    <t>23.10</t>
  </si>
  <si>
    <t>23.11</t>
  </si>
  <si>
    <t>23.12</t>
  </si>
  <si>
    <t>23.13</t>
  </si>
  <si>
    <t>23.14</t>
  </si>
  <si>
    <t>23.15</t>
  </si>
  <si>
    <t>23.16</t>
  </si>
  <si>
    <t>SUPORTE EM TUBO INDUSTRIAL REMOVÍVEL PARA TABELA DE BASQUETE - 2 UNID.(ASSENT./PINTADOS)</t>
  </si>
  <si>
    <t xml:space="preserve">Área externa </t>
  </si>
  <si>
    <t>Área clinica de dependentes</t>
  </si>
  <si>
    <t>Área galpão</t>
  </si>
  <si>
    <t xml:space="preserve">Perímetro </t>
  </si>
  <si>
    <t>Contorno da clínica</t>
  </si>
  <si>
    <t>Jardim</t>
  </si>
  <si>
    <t xml:space="preserve">Placa de inauguração </t>
  </si>
  <si>
    <t>Bancos - Jardim</t>
  </si>
  <si>
    <t>Banheiros masculino</t>
  </si>
  <si>
    <t xml:space="preserve">Banheiro masculino - Vestiario </t>
  </si>
  <si>
    <t xml:space="preserve">Banheiro Apartamento acomanhante masculino </t>
  </si>
  <si>
    <t>Copa/ cozinha</t>
  </si>
  <si>
    <t xml:space="preserve"> </t>
  </si>
  <si>
    <t>2,20+2,30+1,95</t>
  </si>
  <si>
    <t>Banheiro masculino - Recepção</t>
  </si>
  <si>
    <t xml:space="preserve">Banheiro feminino - Recepção </t>
  </si>
  <si>
    <t>Banheiro - Plantonista</t>
  </si>
  <si>
    <t xml:space="preserve">Banheiro - Consultorio Clinico geral </t>
  </si>
  <si>
    <t>Consultorio psicologia</t>
  </si>
  <si>
    <t>Consultorio psiquiatria</t>
  </si>
  <si>
    <t xml:space="preserve">Consultorio terapia ocupacionak </t>
  </si>
  <si>
    <t xml:space="preserve">Consultorio geral </t>
  </si>
  <si>
    <t xml:space="preserve">Banheiro apartamento acompanhante feminino </t>
  </si>
  <si>
    <t xml:space="preserve">Banheiro - vestiario </t>
  </si>
  <si>
    <t xml:space="preserve">Banheiro masculino - refeitorio </t>
  </si>
  <si>
    <t xml:space="preserve">Banheiro feminino - refeitorio </t>
  </si>
  <si>
    <t>Banheiro nutricionista</t>
  </si>
  <si>
    <t xml:space="preserve">Consultorio nutricionista </t>
  </si>
  <si>
    <t/>
  </si>
  <si>
    <t>3,00*2,40</t>
  </si>
  <si>
    <t>8,00*2,00</t>
  </si>
  <si>
    <t xml:space="preserve">Cobertura da fachada frontal </t>
  </si>
  <si>
    <t xml:space="preserve">Jardim - Canteiros </t>
  </si>
  <si>
    <t>Catalão 09 de março de 2020</t>
  </si>
  <si>
    <t>36,79 + 6,00*6,15</t>
  </si>
  <si>
    <t xml:space="preserve">ALAMBRADO EM TUBO INDUSTRIAL 2"#2,28 E TELA MALHA 4" FIO 12 (QUADRA ESPORTE EXISTENTE) SEM PINTURA </t>
  </si>
  <si>
    <t>23.17</t>
  </si>
  <si>
    <t xml:space="preserve">Quadra poliesportiva - Mureta </t>
  </si>
  <si>
    <t>16,10+26,95+16,10+26,95</t>
  </si>
  <si>
    <t>16,10+16,10+3,00+3,00+3,00+3,00</t>
  </si>
  <si>
    <t>Quadra poliesportiva - duas faces</t>
  </si>
  <si>
    <t>CENTRAL DE GÁS PADRÃO GOINFRA SEM INSTALAÇÕES (1+1 CILINDRO 45 KG)</t>
  </si>
  <si>
    <t xml:space="preserve">TORNEIRA DE JARDIM COM BICO PARA MANGUEIRA DIÂMETRO DE 1/2" E 3/4" </t>
  </si>
  <si>
    <t>R E G I S T R O S</t>
  </si>
  <si>
    <t>7.114</t>
  </si>
  <si>
    <t>7.115</t>
  </si>
  <si>
    <t>7.116</t>
  </si>
  <si>
    <t>7.117</t>
  </si>
  <si>
    <t>7.118</t>
  </si>
  <si>
    <t>7.119</t>
  </si>
  <si>
    <t>7.120</t>
  </si>
  <si>
    <t>7.121</t>
  </si>
  <si>
    <t>7.122</t>
  </si>
  <si>
    <t>7.123</t>
  </si>
  <si>
    <t>7.124</t>
  </si>
  <si>
    <t>7.125</t>
  </si>
  <si>
    <t>7.126</t>
  </si>
  <si>
    <t>7.127</t>
  </si>
  <si>
    <t>7.128</t>
  </si>
  <si>
    <t>7.129</t>
  </si>
  <si>
    <t>7.130</t>
  </si>
  <si>
    <t>7.131</t>
  </si>
  <si>
    <t xml:space="preserve">REGISTRO DE GAVETA BRUTO DIAMETRO 3/4" </t>
  </si>
  <si>
    <t>REGISTRO DE ESFERA DIAM.1/2"</t>
  </si>
  <si>
    <t xml:space="preserve">REGISTRO DE ESFERA DIAMETRO 3/4" </t>
  </si>
  <si>
    <t>7.132</t>
  </si>
  <si>
    <t>7.133</t>
  </si>
  <si>
    <t>7.134</t>
  </si>
  <si>
    <t>7.135</t>
  </si>
  <si>
    <t>7.136</t>
  </si>
  <si>
    <t>7.137</t>
  </si>
  <si>
    <t>7.138</t>
  </si>
  <si>
    <t xml:space="preserve">REGISTRO DE GAVETA BRUTO DIAMETRO 1" </t>
  </si>
  <si>
    <t>REGISTRO DE GAVETA BRUTO DIAMETRO 1.1/4"</t>
  </si>
  <si>
    <t xml:space="preserve">REGISTRO DE GAVETA BRUTO DIAMETRO 1.1/2" </t>
  </si>
  <si>
    <t xml:space="preserve">REGISTRO DE GAVETA C/CANOPLA DIAMETRO 3/4" </t>
  </si>
  <si>
    <t xml:space="preserve">REGISTRO DE GAVETA C/CANOPLA DIAMETRO 1" </t>
  </si>
  <si>
    <t xml:space="preserve">REGISTRO DE GAVETA C/CANOPLA DIAMETRO 1.1/4" </t>
  </si>
  <si>
    <t xml:space="preserve">REGISTRO DE PRESSAO C/CANOPLA CROMADA DIAM.3/4" </t>
  </si>
  <si>
    <t>AGUA FRIA</t>
  </si>
  <si>
    <t>T U B O S DE P V C S O L D A V E L</t>
  </si>
  <si>
    <t xml:space="preserve">TUBO SOLDAVEL PVC MARROM DIAMETRO 20 mm </t>
  </si>
  <si>
    <t xml:space="preserve">TUBO SOLDAVEL PVC MARROM DIAMETRO 25 mm </t>
  </si>
  <si>
    <t xml:space="preserve">TUBO SOLDAVEL PVC MARROM DIAMETRO 32 mm </t>
  </si>
  <si>
    <t xml:space="preserve">TUBO SOLDAVEL PVC MARROM DIAM.(40 mm) </t>
  </si>
  <si>
    <t xml:space="preserve">TUBO SOLDAVEL PVC MARROM DIAM. 50 mm </t>
  </si>
  <si>
    <t>A D A P T A D O R E S DE P V C S O L D A V E</t>
  </si>
  <si>
    <t xml:space="preserve">ADAPTAD.SOLD.CURTO C/BOLSA E ROSCA P/REG.25X3/4" </t>
  </si>
  <si>
    <t xml:space="preserve">ADAPTADOR SOLD.C/FLANGES LIV.P/CX.DAGUA 40X1.1/4" </t>
  </si>
  <si>
    <t xml:space="preserve">ADAPTAD.SOLD.C/FL.LIVRES P/CX.DAGUA 50X1.1/2" </t>
  </si>
  <si>
    <t xml:space="preserve">ADAPTAD.SOLD.CURTO C/BOLSA E ROSCA P/REG.32X1" </t>
  </si>
  <si>
    <t xml:space="preserve">ADAPTAD.SOLD.CURTO C/BOLSA/ROSCA P/REG.40X1 1/4" </t>
  </si>
  <si>
    <t xml:space="preserve">ADAPTAD.SOLD.CURTO C/BOLSA/ROSCA P/REG.50X11/2" </t>
  </si>
  <si>
    <t xml:space="preserve"> L U V A S DE P V C</t>
  </si>
  <si>
    <t xml:space="preserve">LUVA SOLDAVEL DIAMETRO 25 mm </t>
  </si>
  <si>
    <t xml:space="preserve">LUVA SOLDAVEL DIAMETRO 32 mm </t>
  </si>
  <si>
    <t xml:space="preserve"> LUVA SOLDAVEL DIAMETRO 40 mm </t>
  </si>
  <si>
    <t xml:space="preserve"> LUVA DE REDUCAO SOLDAVEL DIAMETRO 32 X 25 mm</t>
  </si>
  <si>
    <t xml:space="preserve">BUCHA DE REDUCAO SOLD.CURTA 32 X 25 MM </t>
  </si>
  <si>
    <t xml:space="preserve"> BUCHA DE REDUCAO SOLD.CURTA 40 X 32 mm </t>
  </si>
  <si>
    <t xml:space="preserve">BUCHA DE REDUCAO SOLD.CURTO 50 X 40 mm </t>
  </si>
  <si>
    <t xml:space="preserve">BUCHA DE REDUCAO SOLDAVEL LONGA 50 X 32 mm </t>
  </si>
  <si>
    <t xml:space="preserve"> J O E L H O S</t>
  </si>
  <si>
    <t xml:space="preserve">JOELHO 45 GRAUS SOLDAVEL 25 mm </t>
  </si>
  <si>
    <t xml:space="preserve">JOELHO 90 GRAUS SOLDAVEL DIAMETRO 25 MM </t>
  </si>
  <si>
    <t xml:space="preserve">JOELHO 90 GRAUS SOLDAVEL DIAMETRO 32 MM (1") </t>
  </si>
  <si>
    <t xml:space="preserve"> JOELHO 90 GRAUS SOLDAVEL DIAMETRO 40 mm (1.1/4") </t>
  </si>
  <si>
    <t xml:space="preserve">JOELHO 90 GRAUS SOLDAVEL 50 mm (MARROM) </t>
  </si>
  <si>
    <t>JOELHO 90 GRAUS SOLD. C/BUCHA LATAO 25 X 3/4"</t>
  </si>
  <si>
    <t xml:space="preserve">JOELHO RED.90 GRAUS SOLD.C/BUCHA LATAO 25X1/2" </t>
  </si>
  <si>
    <t xml:space="preserve"> T E</t>
  </si>
  <si>
    <t xml:space="preserve"> TE 90 GRAUS SOLDAVEL DIAMETRO 25 mm</t>
  </si>
  <si>
    <t xml:space="preserve">TE 90 GRAUS SOLDAVEL DIAMETRO 32 mm </t>
  </si>
  <si>
    <t xml:space="preserve">TE 90 GRAUS SOLDAVEL DIAMETRO 40 mm </t>
  </si>
  <si>
    <t xml:space="preserve">TE 90 GRAUS SOLDAVEL DIAMETRO 50 mm </t>
  </si>
  <si>
    <t xml:space="preserve">TE REDUCAO 90 GRAUS SOLDAVEL 32 X 25 mm </t>
  </si>
  <si>
    <t xml:space="preserve">TE REDUCAO 90 GRAUS SOLDAVEL 40 X 32 mm </t>
  </si>
  <si>
    <t xml:space="preserve">TE REDUCAO 90 GRAUS SOLDAVEL 50 X 32 mm </t>
  </si>
  <si>
    <t xml:space="preserve">TE REDUCAO 90 GRAUS SOLDAVEL 50 X 40 mm </t>
  </si>
  <si>
    <t>C U R V A S</t>
  </si>
  <si>
    <t xml:space="preserve">CURVA 90 GRAUS SOLDAVEL DIAMETRO 25 mm </t>
  </si>
  <si>
    <t xml:space="preserve"> CURVA 90 GRAUS SOLDAVEL DIAMETRO 32 mm </t>
  </si>
  <si>
    <t>REGISTRO DE GAVETA BRUTO DIAMETRO 2"</t>
  </si>
  <si>
    <t xml:space="preserve">TUBO SOLDAVEL PVC MARROM DIAMETRO 60 mm (2") </t>
  </si>
  <si>
    <t xml:space="preserve">ADAPTAD.SOLD.CURTO C/BOLSA/ROSCA P/REGIST.60X2" </t>
  </si>
  <si>
    <t xml:space="preserve">BUCHA DE REDUCAO SOLDAVEL LONGA 60 X 32 mm </t>
  </si>
  <si>
    <t xml:space="preserve"> BUCHA DE REDUCAO SOLDAVEL LONGA 60 X 40 mm </t>
  </si>
  <si>
    <t>TE 90 GRAUS SOLDAVEL DIMETRO 60 mm</t>
  </si>
  <si>
    <t>U N I A O</t>
  </si>
  <si>
    <t xml:space="preserve">UNIAO SOLDAVEL DIAMETRO 32 mm </t>
  </si>
  <si>
    <t xml:space="preserve">UNIAO SOLDAVEL DIAMETRO 40 mm </t>
  </si>
  <si>
    <t xml:space="preserve">CURVA 90 GRAUS SOLDAVEL DIAMETRO 40 mm </t>
  </si>
  <si>
    <t xml:space="preserve">CURVA 90 GRAUS SOLDAVEL DIAMETRO 60 mm </t>
  </si>
  <si>
    <t>7.139</t>
  </si>
  <si>
    <t>7.140</t>
  </si>
  <si>
    <t>7.141</t>
  </si>
  <si>
    <t>7.142</t>
  </si>
  <si>
    <t>7.143</t>
  </si>
  <si>
    <t>7.144</t>
  </si>
  <si>
    <t>7.145</t>
  </si>
  <si>
    <t>7.146</t>
  </si>
  <si>
    <t>7.147</t>
  </si>
  <si>
    <t>7.148</t>
  </si>
  <si>
    <t xml:space="preserve">BOMBA RECALQUE D'AGUA TRIFASICA 10,0 HP </t>
  </si>
  <si>
    <t>6.77</t>
  </si>
  <si>
    <t>7.149</t>
  </si>
  <si>
    <t>7.150</t>
  </si>
  <si>
    <t>7.151</t>
  </si>
  <si>
    <t>7.152</t>
  </si>
  <si>
    <t>25,10+12,65+25,10+12,65</t>
  </si>
  <si>
    <t>25,10*1,25*0,20*2,00+12,65*1,25*2,00*0,20</t>
  </si>
  <si>
    <t>(25,10+25,10+12,65+12,65+4,*1,20)*1,20*0,10</t>
  </si>
  <si>
    <t>25,10+12,65</t>
  </si>
  <si>
    <t>Calçada externa  (Largura =1,20m)</t>
  </si>
  <si>
    <t>TRAMA DE AÇO COMPOSTA POR TERÇAS PARA TELHADOS DE ATÉ 2 ÁGUAS PARA TELHA ONDULADA DE FIBROCIMENTO, METÁLICA, PLÁSTICA OU TERMOACÚSTICA, INCLUSO TRANSPORTE VERTICAL. AF_07/2019</t>
  </si>
  <si>
    <t>12.2</t>
  </si>
  <si>
    <t>12.3</t>
  </si>
  <si>
    <t>Refeitorio - Pilar Duplo U (8" x 770 mm)</t>
  </si>
  <si>
    <t>Galpão - Pilar Duplo U (8" x 770 mm)</t>
  </si>
  <si>
    <t>Massa linear de Seção U Simples</t>
  </si>
  <si>
    <t>Contorno Jardim (Largura = 1,20m)</t>
  </si>
  <si>
    <t>(13,57+14,57+14,92+13,60)*1,20</t>
  </si>
  <si>
    <t>(42,95+3,40+45,50+45,50)*1,20</t>
  </si>
  <si>
    <t>(13,24+29,40+2,78+13,40+29,40+2,30)*1,20</t>
  </si>
  <si>
    <t>(36,10+22,40+17,40+15,86+22,40)*1,20</t>
  </si>
  <si>
    <t>(128,20+92,40+65,50+30+23,30+25,15+24,75+3,40+21,70+10,40+8,80+6,20)*1,20</t>
  </si>
  <si>
    <t>(29,80*4,00+5,00*2,00+4,90*2,00+5,00*2,00)*1,20</t>
  </si>
  <si>
    <t>Passarelas  (Largura = 2,50m)</t>
  </si>
  <si>
    <t>(74,15+5,90+4,15+7,20+6,50+2,61)*2,50</t>
  </si>
  <si>
    <t>FOSSA SEPTICA 12600 LITROS COM IMPERMEABILIZAÇÃO</t>
  </si>
  <si>
    <t>7.153</t>
  </si>
  <si>
    <t>7.154</t>
  </si>
  <si>
    <t>7.155</t>
  </si>
  <si>
    <t>7.156</t>
  </si>
  <si>
    <t>7.157</t>
  </si>
  <si>
    <t xml:space="preserve"> Composição 1 - FOSSA SEPTICA 12600 LITROS COM IMPERMEABILIZAÇÃO</t>
  </si>
  <si>
    <t>Código auxiliar (B)</t>
  </si>
  <si>
    <t xml:space="preserve"> Mãos-de-obra </t>
  </si>
  <si>
    <t>Eq. Salarial</t>
  </si>
  <si>
    <t xml:space="preserve"> Sal/Hora</t>
  </si>
  <si>
    <t xml:space="preserve"> Encargos(%) </t>
  </si>
  <si>
    <t>Consumo</t>
  </si>
  <si>
    <t xml:space="preserve"> Custo Horário</t>
  </si>
  <si>
    <t xml:space="preserve"> AJUDANTE</t>
  </si>
  <si>
    <t>ARMADOR</t>
  </si>
  <si>
    <t xml:space="preserve">CARPINTEIRO </t>
  </si>
  <si>
    <t xml:space="preserve">SERVENTE </t>
  </si>
  <si>
    <t xml:space="preserve"> OPERADOR DE BETONEIRA </t>
  </si>
  <si>
    <t xml:space="preserve">PEDREIRO </t>
  </si>
  <si>
    <t>Código auxiliar ( C)</t>
  </si>
  <si>
    <t xml:space="preserve"> Materiais</t>
  </si>
  <si>
    <t xml:space="preserve"> Unidade </t>
  </si>
  <si>
    <t>Valor unitário</t>
  </si>
  <si>
    <t xml:space="preserve"> Consumo</t>
  </si>
  <si>
    <t xml:space="preserve"> Valor total</t>
  </si>
  <si>
    <t>CAL HIDRATADA</t>
  </si>
  <si>
    <t xml:space="preserve"> CAIBRO 5x6</t>
  </si>
  <si>
    <t xml:space="preserve"> m</t>
  </si>
  <si>
    <t xml:space="preserve">CIMENTO PORTLAND C.P. 32 </t>
  </si>
  <si>
    <t>COMPENSADO RESINADO COLA FENÓLICA 6 MM 2,2X1,1</t>
  </si>
  <si>
    <t xml:space="preserve"> COMPENSADO RESINADO COLA FENÓLICA 12 MM 2,2X1,1</t>
  </si>
  <si>
    <t xml:space="preserve">BRITA No.02 </t>
  </si>
  <si>
    <t xml:space="preserve"> BRITA No. 01 </t>
  </si>
  <si>
    <t>ARAME RECOZIDO 18</t>
  </si>
  <si>
    <t xml:space="preserve"> ACO CA-60 B - 5,0 MM </t>
  </si>
  <si>
    <t xml:space="preserve"> ACO CA-50 - 6,3 MM (1/4")</t>
  </si>
  <si>
    <t xml:space="preserve"> Kg</t>
  </si>
  <si>
    <t xml:space="preserve">PREGO 18x24 </t>
  </si>
  <si>
    <t xml:space="preserve"> RIPA DE MADEIRA 5x1</t>
  </si>
  <si>
    <t xml:space="preserve">SARRAFO DE MADEIRA 10 CM </t>
  </si>
  <si>
    <t>SIKA 1 / VEDACIT (D=1,00) OU EQUIVALENTE</t>
  </si>
  <si>
    <t xml:space="preserve">ESCORA ROLIÇA (TIPO EUCALIPTO) </t>
  </si>
  <si>
    <t>DESMOLDANTE PARA CONCRETO</t>
  </si>
  <si>
    <t xml:space="preserve"> l </t>
  </si>
  <si>
    <t xml:space="preserve">TABUA PARA FORMA(30CM) </t>
  </si>
  <si>
    <t xml:space="preserve">AREIA GROSSA </t>
  </si>
  <si>
    <t xml:space="preserve"> Composição 1 </t>
  </si>
  <si>
    <t xml:space="preserve"> Composição 2 </t>
  </si>
  <si>
    <t>FOSSA SEPTICA 9792 LITROS COM IMPERMEABILIZAÇÃO</t>
  </si>
  <si>
    <t xml:space="preserve"> Composição 3</t>
  </si>
  <si>
    <t xml:space="preserve"> Composição 2 - FOSSA SEPTICA 9792 LITROS COM IMPERMEABILIZAÇÃO</t>
  </si>
  <si>
    <t xml:space="preserve"> Composição 4</t>
  </si>
  <si>
    <t xml:space="preserve"> Composição 5</t>
  </si>
  <si>
    <t xml:space="preserve"> Mãos-de-obra</t>
  </si>
  <si>
    <t xml:space="preserve"> Eq. Salarial </t>
  </si>
  <si>
    <t>Sal/Hora</t>
  </si>
  <si>
    <t xml:space="preserve">Consumo </t>
  </si>
  <si>
    <t>Custo Horário</t>
  </si>
  <si>
    <t xml:space="preserve">ARMADOR </t>
  </si>
  <si>
    <t xml:space="preserve">POCEIRO </t>
  </si>
  <si>
    <t xml:space="preserve"> PEDREIRO</t>
  </si>
  <si>
    <t xml:space="preserve"> Materiais </t>
  </si>
  <si>
    <t xml:space="preserve">Unidade </t>
  </si>
  <si>
    <t xml:space="preserve">Valor unitário </t>
  </si>
  <si>
    <t>Valor total</t>
  </si>
  <si>
    <t xml:space="preserve"> ACO CA-50 - 6,3 MM (1/4") </t>
  </si>
  <si>
    <t>Kg</t>
  </si>
  <si>
    <t xml:space="preserve"> ARAME RECOZIDO 18 </t>
  </si>
  <si>
    <t>BRITA No. 01</t>
  </si>
  <si>
    <t xml:space="preserve"> BRITA No.02 </t>
  </si>
  <si>
    <t xml:space="preserve">BRITA 3 e 4 </t>
  </si>
  <si>
    <t xml:space="preserve"> PREGO 18x24</t>
  </si>
  <si>
    <t xml:space="preserve">TIJOLO COMUM MACIÇO (4,5x9x19cm) </t>
  </si>
  <si>
    <t>SUMIDOURO COM DIÂMETRO=1,80 M E PROFUNDIDADE=2,55 M</t>
  </si>
  <si>
    <t>SUMIDOURO COM DIÂMETRO=1,90 M E PROFUNDIDADE=2,85 M</t>
  </si>
  <si>
    <t>SUMIDOURO COM DIÂMETRO=1,80 M E PROFUNDIDADE=2,75 M</t>
  </si>
  <si>
    <t>COMPOSIÇÃO 3 - SUMIDOURO COM DIÂMETRO=1,80 M E PROFUNDIDADE=2,55 M</t>
  </si>
  <si>
    <t>COMPOSIÇÃO 4 - SUMIDOURO COM DIÂMETRO=1,80 M E PROFUNDIDADE=2,75 M</t>
  </si>
  <si>
    <t>COMPOSIÇÃO 5 - SUMIDOURO COM DIÂMETRO=1,90 M E PROFUNDIDADE=2,85 M</t>
  </si>
  <si>
    <t>GRUPO DE SERVIÇO: 100002 - PAVIMENTAÇÃO</t>
  </si>
  <si>
    <t>AGETOP - 135</t>
  </si>
  <si>
    <t xml:space="preserve">REGULARIZAÇÃO E COMPACTAÇÃO DO SUB-LEITO </t>
  </si>
  <si>
    <t xml:space="preserve">ESCAVAÇÃO E CARGA MAT. DE JAZIDA-COM INDENIZAÇÃO </t>
  </si>
  <si>
    <t>TRANSPORTE DE MATERIAL DE JAZIDA (CASCALHO)</t>
  </si>
  <si>
    <t xml:space="preserve"> m3km </t>
  </si>
  <si>
    <t xml:space="preserve">IMPRIMAÇÃO </t>
  </si>
  <si>
    <t>PAVIMENTAÇÃO</t>
  </si>
  <si>
    <t xml:space="preserve">TRANSPORTE LOCAL DE MATERIAL BETUMINOSO </t>
  </si>
  <si>
    <t>24.1</t>
  </si>
  <si>
    <t>24.2</t>
  </si>
  <si>
    <t>24.3</t>
  </si>
  <si>
    <t>24.4</t>
  </si>
  <si>
    <t>24.5</t>
  </si>
  <si>
    <t>24.6</t>
  </si>
  <si>
    <t>24.7</t>
  </si>
  <si>
    <t xml:space="preserve">Estacionamento </t>
  </si>
  <si>
    <t>Item 24.2 (Distancia de 30 km)</t>
  </si>
  <si>
    <t>Volumexdistancia</t>
  </si>
  <si>
    <t>7.158</t>
  </si>
  <si>
    <t>7.159</t>
  </si>
  <si>
    <t xml:space="preserve">Rua de transito interno a clinica </t>
  </si>
  <si>
    <t xml:space="preserve">TRATAMENTO SUPERFICIAL DUPLO - TSD (BC) </t>
  </si>
  <si>
    <t xml:space="preserve">Distancia </t>
  </si>
  <si>
    <t xml:space="preserve">Clinica de dependentes quimicos </t>
  </si>
  <si>
    <t xml:space="preserve">FORNECIMENTO DE CM-30 </t>
  </si>
  <si>
    <t xml:space="preserve">FORNECIMENTO DE EMULSÃO RR-2C </t>
  </si>
  <si>
    <t>Indice</t>
  </si>
  <si>
    <t>24.8</t>
  </si>
  <si>
    <t>Entorno da rua</t>
  </si>
  <si>
    <t>476,79+447,81</t>
  </si>
  <si>
    <t>606,55+1449,27+3284,03+575,30+660,59</t>
  </si>
  <si>
    <t>ANP - Jan.2020</t>
  </si>
  <si>
    <t>ANP - Nov.2019</t>
  </si>
  <si>
    <t xml:space="preserve">PORTAO TELA/TUBO FoGo PT1/PT2 C/FERRAGENS </t>
  </si>
  <si>
    <t>15.10</t>
  </si>
  <si>
    <t>Estacionamento</t>
  </si>
  <si>
    <t>10,00*5,00+9,00*2,50+1,00*3,00+8,00*5,00+8,00*2,50</t>
  </si>
  <si>
    <t>CÓDIGO - TABELA</t>
  </si>
  <si>
    <t>UNIDADE</t>
  </si>
  <si>
    <t>QUANTIDADE</t>
  </si>
  <si>
    <t>PREÇO UNITÁRIO</t>
  </si>
  <si>
    <t>PREÇO TOTAL</t>
  </si>
  <si>
    <t xml:space="preserve"> 4777 - SINAPI</t>
  </si>
  <si>
    <t>CANTONEIRA ACO ABAS IGUAIS (QUALQUER BITOLA), ESPESSURA ENTRE 1/8" E 1/4"</t>
  </si>
  <si>
    <t>10997 - SINAPI</t>
  </si>
  <si>
    <t>ELETRODO REVESTIDO AWS - E7018, DIAMETRO IGUAL A 4,00 MM</t>
  </si>
  <si>
    <t>40598 - SINAPI</t>
  </si>
  <si>
    <t>PERFIL UDC ("U" DOBRADO DE CHAPA) SIMPLES DE ACO LAMINADO, GALVANIZADO, ASTM A36, 127 X 50 MM, E= 3 MM</t>
  </si>
  <si>
    <t>88278 - SINAPI</t>
  </si>
  <si>
    <t>MONTADOR DE ESTRUTURA METÁLICA COM ENCARGOS COMPLEMENTARES</t>
  </si>
  <si>
    <t xml:space="preserve">88316 - SINAPI </t>
  </si>
  <si>
    <t>SERVENTE COM ENCARGOS COMPLEMENTARES</t>
  </si>
  <si>
    <t>92258 - SINAPI</t>
  </si>
  <si>
    <t>INSTALAÇÃO DE TESOURA (INTEIRA OU MEIA), EM AÇO.</t>
  </si>
  <si>
    <t xml:space="preserve"> Composição 6 - TERÇA METÁLICA 18 METROS - FABRICAÇÃO E INSTALAÇÃO DE TESOURA INTEIRA EM AÇO</t>
  </si>
  <si>
    <t xml:space="preserve"> Composição 6 </t>
  </si>
  <si>
    <t>TERÇA METÁLICA 18 METROS - FABRICAÇÃO E INSTALAÇÃO DE TESOURA INTEIRA EM AÇO</t>
  </si>
  <si>
    <t>FABRICAÇÃO E INSTALAÇÃO DE TESOURA INTEIRA EM AÇO, VÃO DE 12 M, PARA TELHA ONDULADA DE FIBROCIMENTO, METÁLICA, PLÁSTICA OU TERMOACÚSTICA,INCLUSO IÇAMENTO. AF_12/2015</t>
  </si>
  <si>
    <t>12.4</t>
  </si>
  <si>
    <t>MEIO FIO PD. GOINFRA EM CONC. PRÉ MOLD. RETO/CURVO (5X25X100CM), FC28=20MPA COM ARGAM.(1CI:3ARMLC) P/ARREMATE DO REJUNT. E PINTURA A CAL 2 DEMÃOS -INCLUSO ESCAV./APILOAM./REATERRO E CONC.FC28= 10MPA P/ ASSENTAM. ECHUMBAMENTO</t>
  </si>
  <si>
    <t>BANCADA DE GRANITO C/ESPELHO</t>
  </si>
  <si>
    <t>JOELHO 90 GRAUS SOLDAVEL DIAMETRO 60 mm</t>
  </si>
  <si>
    <t>TÊ DE FERRO GALVANIZADO 90º X 2 1/2"</t>
  </si>
  <si>
    <t>ADAPTADOR P/ENGATE STORZ 2.1/2" X 1.1/2"</t>
  </si>
  <si>
    <t>CHAVE PARA CONEXÃO DE MANGOTE TIPO ROSCA - PINO DUPLA - 1.1/2" X 2.1/2"</t>
  </si>
  <si>
    <t>ESGUICHO REGULÁVEL 1.1/2"</t>
  </si>
  <si>
    <t>MANGUEIRA DE INCENDIO DI=38 mm TIPO 2 COMP. 30 M</t>
  </si>
  <si>
    <t>NIPLE DUPLO FERRO GALVANIZADO 2.1/2"</t>
  </si>
  <si>
    <t>1.11</t>
  </si>
  <si>
    <t xml:space="preserve">REDUÇÃO GIRATÓRIA TIPO STORZ - BRONZE OU LATÃO </t>
  </si>
  <si>
    <t>REGISTRO GLOBO ANGULAR 2.1/2"</t>
  </si>
  <si>
    <t>REGISTRO DE GAVETA BRUTO DIAMETRO 2.1/2"</t>
  </si>
  <si>
    <t>TAMPÃO CEGO COM CORRENTE 2.1/2"</t>
  </si>
  <si>
    <t>VÁLVULA DE RETENÇÃO VERTICAL 2.1/2"</t>
  </si>
  <si>
    <t>UNIAO SOLDAVEL DIAMETRO 60 mm</t>
  </si>
  <si>
    <t>TUBO FERRO GALVANIZADO DIAM.2"</t>
  </si>
  <si>
    <t>EXTINTOR MULTI USO EM PO A B C (6 KG) - CAPACIDADE EXTINTORA 3A 20BC</t>
  </si>
  <si>
    <t xml:space="preserve"> PÓ EXTINTOR BD Á BASE DE BICARBONATO DE POTÁSSIO (PURPLE K) </t>
  </si>
  <si>
    <t>PLACAS INDICATIVAS - Extintor 10x20 cm</t>
  </si>
  <si>
    <t>PLACAS INDICATIVAS - Saída 10x20 cm</t>
  </si>
  <si>
    <t>PLACAS INDICATIVAS - MANGUEIRA / HIDRANTE 10x20 cm</t>
  </si>
  <si>
    <t xml:space="preserve">PLACAS INDICATIVAS - ALARME DE INCENDIO </t>
  </si>
  <si>
    <t>ACIONADOR MANUAL DE ALARME DE INCENDIO</t>
  </si>
  <si>
    <t>SIRENE METALICA ALCANCE 500 M</t>
  </si>
  <si>
    <t>MANOMETRO - 0 A 10 KG/CM2</t>
  </si>
  <si>
    <t>7.160</t>
  </si>
  <si>
    <t>7.161</t>
  </si>
  <si>
    <t>7.162</t>
  </si>
  <si>
    <t>7.163</t>
  </si>
  <si>
    <t>7.164</t>
  </si>
  <si>
    <t>7.165</t>
  </si>
  <si>
    <t>7.166</t>
  </si>
  <si>
    <t>7.167</t>
  </si>
  <si>
    <t>7.168</t>
  </si>
  <si>
    <t>7.169</t>
  </si>
  <si>
    <t>7.170</t>
  </si>
  <si>
    <t>7.171</t>
  </si>
  <si>
    <t>7.172</t>
  </si>
  <si>
    <t>7.173</t>
  </si>
  <si>
    <t>7.174</t>
  </si>
  <si>
    <t>7.175</t>
  </si>
  <si>
    <t>7.176</t>
  </si>
  <si>
    <t>7.177</t>
  </si>
  <si>
    <t>7.178</t>
  </si>
  <si>
    <t>7.179</t>
  </si>
  <si>
    <t>7.180</t>
  </si>
  <si>
    <t>7.181</t>
  </si>
  <si>
    <t>7.182</t>
  </si>
  <si>
    <t>7.183</t>
  </si>
  <si>
    <t>7.184</t>
  </si>
  <si>
    <t>7.185</t>
  </si>
  <si>
    <t>7.186</t>
  </si>
  <si>
    <t>7.187</t>
  </si>
  <si>
    <t>C3671</t>
  </si>
  <si>
    <t>CONE PARA EXPURGO EM AÇO INOX COM TAMPA E GRELHA - L=500MM X C=500MM, ALTURA ATÉ 300MM E SAÍDA D=100MM</t>
  </si>
  <si>
    <t>CORTE/DESTOC./RETIRADA/REATERRO (MANUAIS) DE ÁRVORE GRANDE PORTE ( H = 8 A 10M / DIÂMETRO TRONCO 60 A 70CM E COPA DE 10 A 13M ) C/TRANSP.ATE C.B.E CARGA</t>
  </si>
  <si>
    <t xml:space="preserve">Corte de arvores </t>
  </si>
  <si>
    <t>ARMACAO EM TELA DE ACO SOLDADA NERVURADA Q-92, ACO CA-60, 4,2MM, MALHA 15X15CM</t>
  </si>
  <si>
    <t xml:space="preserve">ESCAVAÇAO MANUAL DE VALAS PROF. 2 A 4 M </t>
  </si>
  <si>
    <t xml:space="preserve">Casa de bombas - Piscina </t>
  </si>
  <si>
    <t>5.13</t>
  </si>
  <si>
    <t>MURO ARRIMO PADRÃO GOINFRA EM CANALETA SEM REVESTIMENTO-(COM ALTURA ATÉ 2,50M)-INCLUSO FUNDAÇÃO</t>
  </si>
  <si>
    <t>PISO EM LAJE PRÉ-MOLDADA INC. CAPEAMENTO/FERR.DISTRIB./ESCORAMENTO E FORMA/DESFORMA</t>
  </si>
  <si>
    <t>5.14</t>
  </si>
  <si>
    <t>7.188</t>
  </si>
  <si>
    <t>TAMPÃO DE FERRO FUNDIDO PARA POÇO DE VISITA T-60 SIMPLES PARA TRÁFEGO PESADO</t>
  </si>
  <si>
    <t>RES.METALICO TAÇA AÇO PATINÁVEL-V=10M3COL.SEC.H=6M+FUNDAÇÃO+LOGOTIPO</t>
  </si>
  <si>
    <t xml:space="preserve">ESCADA TIPO MARINHEIRO SEM GUARDA CORPO PADRÃO GOINFRA ( H &lt;= 3M) </t>
  </si>
  <si>
    <t>15.11</t>
  </si>
  <si>
    <t>IMPERMEABILIZAÇÃO MURO DE ARRIMO COM 4 DEMÃOS DE EMULSÃO ASFÁLTICA</t>
  </si>
  <si>
    <t>10.4</t>
  </si>
  <si>
    <t>2,50*4,00</t>
  </si>
  <si>
    <t>2,50+2,50+2,50+2,50</t>
  </si>
  <si>
    <t>Central de Gás medicinal</t>
  </si>
  <si>
    <t>1,10+1,10+3,50</t>
  </si>
  <si>
    <t xml:space="preserve">   Desconto do vão de porta </t>
  </si>
  <si>
    <t>0,75*4,00</t>
  </si>
  <si>
    <t>Central de Gás medicinal - Gradil</t>
  </si>
  <si>
    <t>4,00*0,75</t>
  </si>
  <si>
    <t>Item 15.10</t>
  </si>
  <si>
    <t>Empolamento de 30%</t>
  </si>
  <si>
    <t xml:space="preserve">TUBO LEVE PVC RIGIDO DIAMETRO 150 MM </t>
  </si>
  <si>
    <t>JOELHO 45 GRAUS, PVC, SERIE R, ÁGUA PLUVIAL, DN 150 MM, JUNTA ELÁSTICA, FORNECIDO E INSTALADO EM CONDUTORES VERTICAIS DE ÁGUAS PLUVIAIS. AF_12/2014</t>
  </si>
  <si>
    <t xml:space="preserve">CAIXA DE AREIA 60X60CM FUNDO DE BRITA SEM TAMPA </t>
  </si>
  <si>
    <t>CAIXA DE AREIA 60X60CM FUNDO DE BRITA COM GRELHA METÁLICA FERRO CHATO PADRÃO GOINFRA</t>
  </si>
  <si>
    <t xml:space="preserve">CAIXA DE AREIA - TAMPA EM GRELHA DE CONCRETO ARMADO 25MPA E=5CM </t>
  </si>
  <si>
    <t xml:space="preserve"> JOELHO 90 GRAUS, PVC, SERIE R, ÁGUA PLUVIAL, DN 150 MM, JUNTA ELÁSTICA, FORNECIDO E INSTALADO EM CONDUTORES VERTICAIS DE ÁGUAS PLUVIAIS. AF_12/2014</t>
  </si>
  <si>
    <t>7.189</t>
  </si>
  <si>
    <t>7.190</t>
  </si>
  <si>
    <t>7.191</t>
  </si>
  <si>
    <t>7.192</t>
  </si>
  <si>
    <t>TUBO EM COBRE RÍGIDO, DN 15 MM, CLASSE A, SEM ISOLAMENTO, INSTALADO EM RAMAL DE DISTRIBUIÇÃO FORNECIMENTO E INSTALAÇÃO. AF_12/2015</t>
  </si>
  <si>
    <t>TUBO EM COBRE RÍGIDO, DN 22 MM, CLASSE A, SEM ISOLAMENTO, INSTALADO EM PRUMADA FORNECIMENTO E INSTALAÇÃO. AF_12/2015</t>
  </si>
  <si>
    <t xml:space="preserve"> TUBO EM COBRE RÍGIDO, DN 15 MM, CLASSE A, SEM ISOLAMENTO, INSTALADO EM RAMAL DE DISTRIBUIÇÃO FORNECIMENTO E INSTALAÇÃO. AF_12/2015</t>
  </si>
  <si>
    <t>PONTO CONSUMO OXIGENIO MED</t>
  </si>
  <si>
    <t>PONTO CONSUMO AR COMPRIMIDO</t>
  </si>
  <si>
    <t>COTOVELO EM COBRE, DN 15 MM, 90 GRAUS, SEM ANEL DE SOLDA, INSTALADO EM RAMAL DE DISTRIBUIÇÃO FORNECIMENTO E INSTALAÇÃO. AF_12/2015</t>
  </si>
  <si>
    <t>COTOVELO EM COBRE, DN 22 MM, 90 GRAUS, SEM ANEL DE SOLDA, INSTALADO EM PRUMADA FORNECIMENTO E INSTALAÇÃO. AF_12/2015</t>
  </si>
  <si>
    <t>LUVA EM COBRE, DN 22 MM, SEM ANEL DE SOLDA, INSTALADO EM RAMAL DE DISTRIBUIÇÃO FORNECIMENTO E INSTALAÇÃO. AF_12/2015</t>
  </si>
  <si>
    <t>LUVA EM COBRE, DN 15 MM, SEM ANEL DE SOLDA, INSTALADO EM RAMAL DE DISTRIBUIÇÃO FORNECIMENTO E INSTALAÇÃO. AF_12/2015</t>
  </si>
  <si>
    <t>BUCHA DE REDUÇÃO EM COBRE, DN 22 MM X 15 MM, SEM ANEL DE SOLDA, BOLSA X BOLSA, INSTALADO EM PRUMADA FORNECIMENTO E INSTALAÇÃO. AF_01/2016</t>
  </si>
  <si>
    <t xml:space="preserve">DEPÓSITO PARA CIMENTO TIPO II COM PINTURA PADRÃO GOINFRA (3,30 X 3,30 M) A=10,89M2 ( C/ REAPROV. 1 VEZ ) - INCLUSO PALETES
</t>
  </si>
  <si>
    <t>1.12</t>
  </si>
  <si>
    <t>1.13</t>
  </si>
  <si>
    <t xml:space="preserve">LIGAÇÃO PROVISÓRIA DE ÁGUA ( INCLUSO RETIRADA DO ESGOTO SANITÁRIO) - PD.GOINFRA
</t>
  </si>
  <si>
    <t>Depósito</t>
  </si>
  <si>
    <t>_________________________________________</t>
  </si>
  <si>
    <t xml:space="preserve">LEONARDO MARTINS DE CASTRO TEIXEIRA </t>
  </si>
  <si>
    <t>PAULO CESAR FERREIRA JUNIOR</t>
  </si>
  <si>
    <t>SECRETÁRIO MUNICIPAL DE OBRAS</t>
  </si>
  <si>
    <t>ENGENHEIRO CIVIL</t>
  </si>
  <si>
    <t>CREA 7455/D-GO</t>
  </si>
  <si>
    <t>CREA 1015638210/D-GO</t>
  </si>
  <si>
    <t>PHILIPJOHN RIBEIRO SILVA</t>
  </si>
  <si>
    <t>THAYNARA DE ALMEIDA CORRÊA E SILVA</t>
  </si>
  <si>
    <t>ENGENHEIRA CIVIL</t>
  </si>
  <si>
    <t>CREA 1016927460/D-GO</t>
  </si>
  <si>
    <t>CREA 1017528098/D-GO</t>
  </si>
  <si>
    <t>CREA 1018824561AP-GO</t>
  </si>
  <si>
    <t>STÉPHANIE PRADO DE PAIVA</t>
  </si>
  <si>
    <t>BDI</t>
  </si>
  <si>
    <t>RUA C19 - LADO PAR S/N BAIRRO: CONQUISTA</t>
  </si>
  <si>
    <t>und.</t>
  </si>
  <si>
    <t>kg</t>
  </si>
  <si>
    <t>mês</t>
  </si>
  <si>
    <t>pr</t>
  </si>
  <si>
    <t>tkm</t>
  </si>
  <si>
    <t>t</t>
  </si>
  <si>
    <t>0,20+0,50+0,20</t>
  </si>
  <si>
    <t xml:space="preserve">Contração </t>
  </si>
  <si>
    <t>22.12</t>
  </si>
  <si>
    <t xml:space="preserve">PINTURA COM SELADOR ACRILICO </t>
  </si>
  <si>
    <t>Circulação feminina</t>
  </si>
  <si>
    <t>3,95+1,45+1,15+27,60+25,55+2,85</t>
  </si>
  <si>
    <t>0,80*8,00</t>
  </si>
  <si>
    <t>0,90*1,00</t>
  </si>
  <si>
    <t>Casa de bombas - Piscina (Duas faces)</t>
  </si>
  <si>
    <t>2.2</t>
  </si>
  <si>
    <t>Área de construção do galpão</t>
  </si>
  <si>
    <t>TRANSPORTE DE ENTULHO CAÇAMBA ESTACIONÁRIA INCLUSO A CARGA MANUAL</t>
  </si>
  <si>
    <t>Volume de limpeza do terreno</t>
  </si>
  <si>
    <t>espessura</t>
  </si>
  <si>
    <t>empolamento</t>
  </si>
  <si>
    <t>ESCAVAÇÃO MECÂNICA</t>
  </si>
  <si>
    <t>Altura média</t>
  </si>
  <si>
    <t xml:space="preserve">Área Clínica e jardins </t>
  </si>
  <si>
    <t>TRANSPORTE DE ENTULHO EM CAMINHÃO SEM CARGA</t>
  </si>
  <si>
    <t xml:space="preserve">Circulação - Ala feminina </t>
  </si>
  <si>
    <t xml:space="preserve">Circulação - Ala masculina </t>
  </si>
  <si>
    <t>Banheiro Feminino - Galpão</t>
  </si>
  <si>
    <t>Cobertura Fachada Frontal</t>
  </si>
  <si>
    <t>12,42 + 12,42</t>
  </si>
  <si>
    <t>18 + 18</t>
  </si>
  <si>
    <t>32,10+32,10+12,40+12,40</t>
  </si>
  <si>
    <t>Desconto de portas</t>
  </si>
  <si>
    <t xml:space="preserve">Desconto de janelas </t>
  </si>
  <si>
    <t xml:space="preserve">Desconto do vão de porta </t>
  </si>
  <si>
    <t>Desconto de cobogós</t>
  </si>
  <si>
    <t>REBOCO (1 CALH:4 ARFC+100kgCI/M3)</t>
  </si>
  <si>
    <t xml:space="preserve">EMBOÇO (1CI:4 ARML) </t>
  </si>
  <si>
    <t>Item 17.1 (descontando item 17.2)</t>
  </si>
  <si>
    <t>Ciruclação externa - Cobertura policarbonato</t>
  </si>
  <si>
    <t>PAVIMENTO INTERTRAVADO ESPESSURA DE 6CM E FCK = 35 MPA</t>
  </si>
  <si>
    <t>(16,10+16,10+3,00+3,00+3,00+3,00)*2</t>
  </si>
  <si>
    <t>6,5 + 6,50 + 7,15 + 7,15</t>
  </si>
  <si>
    <t>SEINFRA - CE</t>
  </si>
  <si>
    <t>CHAPA POLICARBONATO COMPACTA CRISTAL ESP: 6 MM</t>
  </si>
  <si>
    <t>C0770</t>
  </si>
  <si>
    <t>RUA C19 - LADO PAR S/N        BAIRRO: CONQUISTA</t>
  </si>
  <si>
    <t>PORTA TOALHA HASTE LONGA EM METAL/ACABAMENTO CROMADO</t>
  </si>
  <si>
    <t>7.193</t>
  </si>
  <si>
    <t>23.18</t>
  </si>
  <si>
    <t>PEITORIL E MÁRMORE BRANCO, LARGURA DE 15 CM, ASSENTADO COM ARGAMASSA TRAÇO 1:4 (CIMENTO E AREIA MÉDIA, PREPARO MANUAL DA ARGAMASSA)</t>
  </si>
  <si>
    <t>Comprimento total das janelas</t>
  </si>
  <si>
    <t>SABONETEIRA EM METAL / ACABAMENTO CROMADO</t>
  </si>
  <si>
    <t>7.194</t>
  </si>
  <si>
    <t>CAIXA DE INCÊNDIO METÁLICA COM SUPORTE PARA MANGUEIRA, TAMPA E MURETA 17X60X90 CM C/PINTURA</t>
  </si>
  <si>
    <t>EXTINTOR PO QUIMICO SECO (6 KG) - CAPACIDADE EXTINTORA 20 BC</t>
  </si>
  <si>
    <t>LUMINÁRIA DE EMERGÊNCIA 30 LEDS</t>
  </si>
  <si>
    <t>DISPOSITIVO DE AERAÇÃO</t>
  </si>
  <si>
    <t>DISPOSITIVO DE RETORNO</t>
  </si>
  <si>
    <t>FILTRO DE LIMPEZA</t>
  </si>
  <si>
    <t xml:space="preserve">CAIXA DAGUA POLIETILENO 1000 LTS. C/TAMPA </t>
  </si>
  <si>
    <t>TAMPA PARA CONDULETE METÁLICO PARA 2 INTERRUPTORES</t>
  </si>
  <si>
    <t xml:space="preserve">REATOR INTERNO V. MERCÚRIO AFP 1 X 125 W </t>
  </si>
  <si>
    <t xml:space="preserve">QUADRO DE DISTRIBUIÇÃO DE EMBUTIR METÁLICO CB-34E - 150A </t>
  </si>
  <si>
    <t>LUMINÁRIA PARA JARDIM COM POSTE 2,50 M COM 01 GLOBO - INCLUSO BASE DE CONCRETO PADRÃO GOINFRA E FIXAÇÃO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</si>
</sst>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00000"/>
    <numFmt numFmtId="166" formatCode="_(* #,##0.00_);_(* \(#,##0.00\);_(* \-??_);_(@_)"/>
    <numFmt numFmtId="167" formatCode="&quot;R$&quot;\ #,##0.00"/>
    <numFmt numFmtId="169" formatCode="0.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166" fontId="4" fillId="0" borderId="0"/>
  </cellStyleXfs>
  <cellXfs count="486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0" fontId="0" fillId="0" borderId="14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2" fontId="5" fillId="0" borderId="14" xfId="0" applyNumberFormat="1" applyFon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/>
    </xf>
    <xf numFmtId="0" fontId="0" fillId="0" borderId="14" xfId="4" applyNumberFormat="1" applyFont="1" applyBorder="1" applyAlignment="1">
      <alignment horizontal="center"/>
    </xf>
    <xf numFmtId="0" fontId="0" fillId="0" borderId="14" xfId="4" applyNumberFormat="1" applyFont="1" applyBorder="1" applyAlignment="1">
      <alignment horizontal="center" wrapText="1"/>
    </xf>
    <xf numFmtId="167" fontId="0" fillId="0" borderId="14" xfId="0" applyNumberFormat="1" applyBorder="1" applyAlignment="1">
      <alignment horizontal="center" wrapText="1"/>
    </xf>
    <xf numFmtId="0" fontId="0" fillId="0" borderId="14" xfId="4" applyNumberFormat="1" applyFont="1" applyBorder="1" applyAlignment="1">
      <alignment horizontal="center" vertical="top" wrapText="1"/>
    </xf>
    <xf numFmtId="44" fontId="8" fillId="0" borderId="11" xfId="4" applyNumberFormat="1" applyFont="1" applyFill="1" applyBorder="1" applyAlignment="1" applyProtection="1">
      <alignment horizontal="center" vertical="center"/>
      <protection locked="0"/>
    </xf>
    <xf numFmtId="44" fontId="8" fillId="0" borderId="11" xfId="4" applyNumberFormat="1" applyFont="1" applyFill="1" applyBorder="1" applyAlignment="1" applyProtection="1">
      <alignment horizontal="center" vertical="center" wrapText="1"/>
      <protection locked="0"/>
    </xf>
    <xf numFmtId="44" fontId="8" fillId="0" borderId="14" xfId="4" applyNumberFormat="1" applyFont="1" applyFill="1" applyBorder="1" applyAlignment="1" applyProtection="1">
      <alignment horizontal="center" vertical="center" wrapText="1"/>
      <protection locked="0"/>
    </xf>
    <xf numFmtId="166" fontId="8" fillId="7" borderId="14" xfId="6" applyFont="1" applyFill="1" applyBorder="1" applyAlignment="1" applyProtection="1">
      <alignment horizontal="left" vertical="center" wrapText="1"/>
    </xf>
    <xf numFmtId="166" fontId="8" fillId="0" borderId="14" xfId="6" applyFont="1" applyFill="1" applyBorder="1" applyAlignment="1" applyProtection="1">
      <alignment horizontal="left" vertical="center" wrapText="1"/>
    </xf>
    <xf numFmtId="166" fontId="8" fillId="0" borderId="19" xfId="6" applyFont="1" applyFill="1" applyBorder="1" applyAlignment="1" applyProtection="1">
      <alignment horizontal="left" vertical="center" wrapText="1"/>
    </xf>
    <xf numFmtId="44" fontId="7" fillId="0" borderId="19" xfId="4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Protection="1"/>
    <xf numFmtId="0" fontId="6" fillId="2" borderId="6" xfId="0" applyFont="1" applyFill="1" applyBorder="1" applyAlignment="1" applyProtection="1">
      <alignment horizontal="left" vertical="center" wrapText="1"/>
    </xf>
    <xf numFmtId="2" fontId="6" fillId="2" borderId="6" xfId="0" applyNumberFormat="1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44" fontId="6" fillId="2" borderId="6" xfId="4" applyNumberFormat="1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left" vertical="center" wrapText="1"/>
    </xf>
    <xf numFmtId="2" fontId="7" fillId="0" borderId="14" xfId="0" applyNumberFormat="1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left" vertical="center" wrapText="1"/>
    </xf>
    <xf numFmtId="0" fontId="7" fillId="0" borderId="19" xfId="0" applyFont="1" applyBorder="1" applyAlignment="1" applyProtection="1">
      <alignment horizontal="left" vertical="center" wrapText="1"/>
    </xf>
    <xf numFmtId="2" fontId="7" fillId="0" borderId="19" xfId="0" applyNumberFormat="1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44" fontId="6" fillId="4" borderId="6" xfId="4" applyNumberFormat="1" applyFont="1" applyFill="1" applyBorder="1" applyAlignment="1" applyProtection="1">
      <alignment horizontal="center" vertical="center"/>
    </xf>
    <xf numFmtId="2" fontId="7" fillId="0" borderId="14" xfId="0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left" vertical="center" wrapText="1"/>
    </xf>
    <xf numFmtId="2" fontId="8" fillId="0" borderId="11" xfId="1" applyNumberFormat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/>
    </xf>
    <xf numFmtId="2" fontId="8" fillId="0" borderId="0" xfId="1" applyNumberFormat="1" applyFont="1" applyFill="1" applyBorder="1" applyAlignment="1" applyProtection="1">
      <alignment horizontal="center" vertical="center"/>
    </xf>
    <xf numFmtId="44" fontId="6" fillId="0" borderId="15" xfId="4" applyNumberFormat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left" vertical="center" wrapText="1"/>
    </xf>
    <xf numFmtId="2" fontId="8" fillId="0" borderId="14" xfId="1" applyNumberFormat="1" applyFont="1" applyFill="1" applyBorder="1" applyAlignment="1" applyProtection="1">
      <alignment horizontal="center" vertical="center"/>
    </xf>
    <xf numFmtId="2" fontId="7" fillId="0" borderId="11" xfId="0" applyNumberFormat="1" applyFont="1" applyFill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9" fillId="0" borderId="14" xfId="0" applyFont="1" applyFill="1" applyBorder="1" applyAlignment="1" applyProtection="1">
      <alignment horizontal="left" vertical="center" wrapText="1"/>
    </xf>
    <xf numFmtId="0" fontId="8" fillId="0" borderId="14" xfId="5" applyFont="1" applyFill="1" applyBorder="1" applyAlignment="1" applyProtection="1">
      <alignment horizontal="center" vertical="center"/>
    </xf>
    <xf numFmtId="2" fontId="7" fillId="0" borderId="19" xfId="0" applyNumberFormat="1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left" vertical="center" wrapText="1"/>
    </xf>
    <xf numFmtId="0" fontId="6" fillId="3" borderId="22" xfId="0" applyFont="1" applyFill="1" applyBorder="1" applyAlignment="1" applyProtection="1">
      <alignment horizontal="left" vertical="center" wrapText="1"/>
    </xf>
    <xf numFmtId="2" fontId="6" fillId="3" borderId="22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44" fontId="6" fillId="3" borderId="22" xfId="4" applyNumberFormat="1" applyFont="1" applyFill="1" applyBorder="1" applyAlignment="1" applyProtection="1">
      <alignment horizontal="center" vertical="center"/>
    </xf>
    <xf numFmtId="44" fontId="6" fillId="3" borderId="23" xfId="4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4" fontId="7" fillId="0" borderId="0" xfId="4" applyNumberFormat="1" applyFont="1" applyAlignment="1" applyProtection="1">
      <alignment horizontal="center" vertical="center"/>
    </xf>
    <xf numFmtId="0" fontId="1" fillId="2" borderId="6" xfId="0" applyFont="1" applyFill="1" applyBorder="1" applyAlignment="1" applyProtection="1">
      <alignment vertic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vertical="center" wrapText="1"/>
    </xf>
    <xf numFmtId="2" fontId="0" fillId="0" borderId="15" xfId="0" applyNumberFormat="1" applyFont="1" applyBorder="1" applyAlignment="1" applyProtection="1">
      <alignment horizontal="center" vertical="center"/>
    </xf>
    <xf numFmtId="0" fontId="0" fillId="0" borderId="14" xfId="0" applyFont="1" applyBorder="1" applyAlignment="1" applyProtection="1"/>
    <xf numFmtId="2" fontId="0" fillId="0" borderId="24" xfId="0" applyNumberFormat="1" applyFont="1" applyBorder="1" applyAlignment="1" applyProtection="1">
      <alignment horizontal="center" vertical="center"/>
    </xf>
    <xf numFmtId="2" fontId="0" fillId="0" borderId="29" xfId="0" applyNumberFormat="1" applyFont="1" applyBorder="1" applyAlignment="1" applyProtection="1">
      <alignment horizontal="center" vertical="center"/>
    </xf>
    <xf numFmtId="2" fontId="0" fillId="0" borderId="20" xfId="0" applyNumberFormat="1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2" fontId="0" fillId="0" borderId="14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 wrapText="1"/>
    </xf>
    <xf numFmtId="0" fontId="0" fillId="0" borderId="14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center" vertical="center" wrapText="1"/>
    </xf>
    <xf numFmtId="2" fontId="0" fillId="0" borderId="14" xfId="0" applyNumberFormat="1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 wrapText="1"/>
    </xf>
    <xf numFmtId="0" fontId="0" fillId="0" borderId="33" xfId="0" applyFont="1" applyBorder="1" applyAlignment="1" applyProtection="1">
      <alignment horizontal="center" vertical="center" wrapText="1"/>
    </xf>
    <xf numFmtId="0" fontId="0" fillId="0" borderId="33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left" vertical="center" wrapText="1"/>
    </xf>
    <xf numFmtId="2" fontId="0" fillId="0" borderId="29" xfId="0" applyNumberFormat="1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 wrapText="1"/>
    </xf>
    <xf numFmtId="0" fontId="0" fillId="0" borderId="14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vertical="center" wrapText="1"/>
    </xf>
    <xf numFmtId="2" fontId="0" fillId="0" borderId="14" xfId="0" applyNumberFormat="1" applyFont="1" applyFill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/>
    </xf>
    <xf numFmtId="2" fontId="0" fillId="0" borderId="0" xfId="0" applyNumberFormat="1" applyProtection="1"/>
    <xf numFmtId="0" fontId="0" fillId="0" borderId="0" xfId="0" applyFont="1" applyProtection="1"/>
    <xf numFmtId="0" fontId="0" fillId="0" borderId="25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left" vertical="center" wrapText="1"/>
    </xf>
    <xf numFmtId="0" fontId="0" fillId="0" borderId="14" xfId="0" applyFill="1" applyBorder="1" applyAlignment="1" applyProtection="1">
      <alignment horizontal="center" vertical="center"/>
    </xf>
    <xf numFmtId="2" fontId="0" fillId="0" borderId="15" xfId="0" applyNumberFormat="1" applyFon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/>
    </xf>
    <xf numFmtId="0" fontId="1" fillId="0" borderId="28" xfId="0" applyFont="1" applyFill="1" applyBorder="1" applyAlignment="1" applyProtection="1">
      <alignment horizontal="center" vertical="center"/>
    </xf>
    <xf numFmtId="2" fontId="0" fillId="0" borderId="15" xfId="0" applyNumberForma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horizontal="center" vertical="center"/>
    </xf>
    <xf numFmtId="2" fontId="0" fillId="0" borderId="14" xfId="0" applyNumberFormat="1" applyBorder="1" applyAlignment="1" applyProtection="1">
      <alignment horizontal="center" vertical="center"/>
    </xf>
    <xf numFmtId="0" fontId="0" fillId="0" borderId="14" xfId="0" applyBorder="1" applyAlignment="1" applyProtection="1">
      <alignment vertical="center" wrapText="1"/>
    </xf>
    <xf numFmtId="0" fontId="0" fillId="0" borderId="14" xfId="0" quotePrefix="1" applyBorder="1" applyAlignment="1" applyProtection="1">
      <alignment horizontal="center" vertical="center"/>
    </xf>
    <xf numFmtId="2" fontId="0" fillId="0" borderId="41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2" fontId="0" fillId="0" borderId="0" xfId="0" applyNumberFormat="1" applyFont="1" applyAlignment="1" applyProtection="1">
      <alignment horizontal="center" vertical="center"/>
    </xf>
    <xf numFmtId="44" fontId="7" fillId="0" borderId="14" xfId="4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4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7" fontId="0" fillId="0" borderId="0" xfId="0" applyNumberFormat="1" applyBorder="1"/>
    <xf numFmtId="167" fontId="0" fillId="0" borderId="5" xfId="0" applyNumberFormat="1" applyBorder="1" applyAlignment="1">
      <alignment horizontal="center"/>
    </xf>
    <xf numFmtId="0" fontId="10" fillId="0" borderId="0" xfId="0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10" fillId="0" borderId="4" xfId="0" applyFont="1" applyBorder="1" applyAlignment="1"/>
    <xf numFmtId="0" fontId="10" fillId="0" borderId="0" xfId="0" applyFont="1" applyBorder="1" applyAlignment="1"/>
    <xf numFmtId="4" fontId="0" fillId="0" borderId="0" xfId="0" applyNumberFormat="1" applyBorder="1"/>
    <xf numFmtId="4" fontId="1" fillId="0" borderId="0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1" xfId="0" applyFont="1" applyBorder="1" applyAlignment="1"/>
    <xf numFmtId="4" fontId="10" fillId="0" borderId="31" xfId="0" applyNumberFormat="1" applyFont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167" fontId="0" fillId="0" borderId="3" xfId="0" applyNumberFormat="1" applyBorder="1"/>
    <xf numFmtId="167" fontId="0" fillId="0" borderId="5" xfId="0" applyNumberFormat="1" applyBorder="1"/>
    <xf numFmtId="0" fontId="10" fillId="0" borderId="5" xfId="0" applyFont="1" applyBorder="1" applyAlignment="1"/>
    <xf numFmtId="0" fontId="10" fillId="0" borderId="5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67" fontId="0" fillId="0" borderId="1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167" fontId="0" fillId="0" borderId="2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right"/>
    </xf>
    <xf numFmtId="167" fontId="0" fillId="0" borderId="15" xfId="0" applyNumberFormat="1" applyBorder="1" applyAlignment="1">
      <alignment horizontal="center"/>
    </xf>
    <xf numFmtId="9" fontId="6" fillId="2" borderId="6" xfId="3" applyFont="1" applyFill="1" applyBorder="1" applyAlignment="1" applyProtection="1">
      <alignment horizontal="center" vertical="center"/>
    </xf>
    <xf numFmtId="9" fontId="7" fillId="0" borderId="14" xfId="3" applyFont="1" applyFill="1" applyBorder="1" applyAlignment="1" applyProtection="1">
      <alignment horizontal="center" vertical="center"/>
      <protection locked="0"/>
    </xf>
    <xf numFmtId="9" fontId="6" fillId="3" borderId="22" xfId="3" applyFont="1" applyFill="1" applyBorder="1" applyAlignment="1" applyProtection="1">
      <alignment horizontal="center" vertical="center"/>
    </xf>
    <xf numFmtId="9" fontId="7" fillId="0" borderId="0" xfId="3" applyFont="1" applyAlignment="1" applyProtection="1">
      <alignment horizontal="center" vertical="center"/>
    </xf>
    <xf numFmtId="10" fontId="7" fillId="0" borderId="33" xfId="3" applyNumberFormat="1" applyFont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167" fontId="0" fillId="0" borderId="14" xfId="0" applyNumberFormat="1" applyBorder="1" applyAlignment="1">
      <alignment horizontal="center" vertical="center" wrapText="1"/>
    </xf>
    <xf numFmtId="167" fontId="11" fillId="0" borderId="20" xfId="0" applyNumberFormat="1" applyFont="1" applyBorder="1" applyAlignment="1">
      <alignment horizont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14" xfId="1" applyNumberFormat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 wrapText="1"/>
    </xf>
    <xf numFmtId="0" fontId="8" fillId="0" borderId="14" xfId="1" applyNumberFormat="1" applyFont="1" applyFill="1" applyBorder="1" applyAlignment="1" applyProtection="1">
      <alignment horizontal="center" vertical="center" wrapText="1"/>
    </xf>
    <xf numFmtId="0" fontId="8" fillId="0" borderId="24" xfId="1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/>
    </xf>
    <xf numFmtId="0" fontId="7" fillId="0" borderId="33" xfId="0" applyFont="1" applyBorder="1" applyAlignment="1" applyProtection="1">
      <alignment horizontal="center" vertical="center"/>
    </xf>
    <xf numFmtId="2" fontId="0" fillId="0" borderId="29" xfId="0" applyNumberFormat="1" applyFont="1" applyBorder="1" applyAlignment="1" applyProtection="1">
      <alignment horizontal="center" vertical="center"/>
    </xf>
    <xf numFmtId="2" fontId="0" fillId="0" borderId="14" xfId="0" applyNumberFormat="1" applyFont="1" applyBorder="1" applyAlignment="1" applyProtection="1">
      <alignment horizontal="center" vertical="center"/>
    </xf>
    <xf numFmtId="2" fontId="0" fillId="0" borderId="20" xfId="0" applyNumberFormat="1" applyFont="1" applyBorder="1" applyAlignment="1" applyProtection="1">
      <alignment horizontal="center" vertical="center"/>
    </xf>
    <xf numFmtId="2" fontId="0" fillId="0" borderId="14" xfId="0" applyNumberFormat="1" applyFont="1" applyBorder="1" applyAlignment="1" applyProtection="1">
      <alignment horizontal="center" vertical="center"/>
    </xf>
    <xf numFmtId="2" fontId="0" fillId="0" borderId="29" xfId="0" applyNumberFormat="1" applyFont="1" applyBorder="1" applyAlignment="1" applyProtection="1">
      <alignment horizontal="center" vertical="center"/>
    </xf>
    <xf numFmtId="0" fontId="0" fillId="0" borderId="33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left" vertical="center" wrapText="1"/>
    </xf>
    <xf numFmtId="0" fontId="0" fillId="0" borderId="33" xfId="0" applyFont="1" applyBorder="1" applyAlignment="1" applyProtection="1">
      <alignment vertical="center" wrapText="1"/>
    </xf>
    <xf numFmtId="0" fontId="0" fillId="0" borderId="33" xfId="0" applyBorder="1" applyAlignment="1" applyProtection="1">
      <alignment vertical="center" wrapText="1"/>
    </xf>
    <xf numFmtId="0" fontId="0" fillId="0" borderId="14" xfId="0" applyFill="1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9" fontId="0" fillId="0" borderId="38" xfId="3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2" fontId="0" fillId="0" borderId="19" xfId="0" applyNumberFormat="1" applyFont="1" applyBorder="1" applyAlignment="1" applyProtection="1">
      <alignment horizontal="center" vertical="center" wrapText="1"/>
    </xf>
    <xf numFmtId="0" fontId="1" fillId="0" borderId="27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2" fontId="0" fillId="0" borderId="14" xfId="0" applyNumberFormat="1" applyBorder="1" applyAlignment="1" applyProtection="1">
      <alignment horizontal="center" vertical="center" wrapText="1"/>
    </xf>
    <xf numFmtId="2" fontId="0" fillId="0" borderId="0" xfId="0" applyNumberFormat="1" applyFont="1" applyAlignment="1" applyProtection="1">
      <alignment horizontal="center" vertical="center" wrapText="1"/>
    </xf>
    <xf numFmtId="44" fontId="6" fillId="4" borderId="37" xfId="4" applyNumberFormat="1" applyFont="1" applyFill="1" applyBorder="1" applyAlignment="1" applyProtection="1">
      <alignment horizontal="center" vertical="center"/>
    </xf>
    <xf numFmtId="10" fontId="7" fillId="0" borderId="14" xfId="3" applyNumberFormat="1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left" vertical="center" wrapText="1"/>
    </xf>
    <xf numFmtId="0" fontId="8" fillId="0" borderId="14" xfId="0" applyFont="1" applyFill="1" applyBorder="1" applyAlignment="1" applyProtection="1">
      <alignment horizontal="left" vertical="center" wrapText="1"/>
    </xf>
    <xf numFmtId="165" fontId="7" fillId="0" borderId="11" xfId="0" applyNumberFormat="1" applyFont="1" applyFill="1" applyBorder="1" applyAlignment="1" applyProtection="1">
      <alignment horizontal="left" vertical="center" wrapText="1"/>
    </xf>
    <xf numFmtId="165" fontId="7" fillId="0" borderId="14" xfId="0" applyNumberFormat="1" applyFont="1" applyFill="1" applyBorder="1" applyAlignment="1" applyProtection="1">
      <alignment horizontal="left" vertical="center" wrapText="1"/>
    </xf>
    <xf numFmtId="165" fontId="7" fillId="0" borderId="33" xfId="0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2" fontId="0" fillId="0" borderId="29" xfId="0" applyNumberFormat="1" applyFont="1" applyBorder="1" applyAlignment="1" applyProtection="1">
      <alignment horizontal="center" vertical="center"/>
    </xf>
    <xf numFmtId="2" fontId="0" fillId="0" borderId="14" xfId="0" applyNumberFormat="1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3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39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0" fillId="0" borderId="36" xfId="0" applyFont="1" applyBorder="1" applyAlignment="1" applyProtection="1">
      <alignment horizontal="center" vertical="center"/>
    </xf>
    <xf numFmtId="0" fontId="0" fillId="0" borderId="36" xfId="0" applyFont="1" applyFill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36" xfId="0" applyFont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left" vertical="center" wrapText="1"/>
    </xf>
    <xf numFmtId="0" fontId="1" fillId="0" borderId="50" xfId="0" applyFont="1" applyBorder="1" applyAlignment="1" applyProtection="1">
      <alignment horizontal="left" vertical="center" wrapText="1"/>
    </xf>
    <xf numFmtId="0" fontId="1" fillId="0" borderId="26" xfId="0" applyFont="1" applyFill="1" applyBorder="1" applyAlignment="1" applyProtection="1">
      <alignment horizontal="left" vertical="center" wrapText="1"/>
    </xf>
    <xf numFmtId="9" fontId="0" fillId="0" borderId="14" xfId="3" applyFont="1" applyBorder="1" applyAlignment="1" applyProtection="1">
      <alignment horizontal="center" vertical="center"/>
    </xf>
    <xf numFmtId="2" fontId="1" fillId="0" borderId="20" xfId="0" applyNumberFormat="1" applyFont="1" applyBorder="1" applyAlignment="1" applyProtection="1">
      <alignment horizontal="center" vertical="center"/>
    </xf>
    <xf numFmtId="44" fontId="8" fillId="0" borderId="14" xfId="4" applyNumberFormat="1" applyFont="1" applyFill="1" applyBorder="1" applyAlignment="1" applyProtection="1">
      <alignment horizontal="center" vertical="center"/>
      <protection locked="0"/>
    </xf>
    <xf numFmtId="44" fontId="7" fillId="0" borderId="14" xfId="4" applyNumberFormat="1" applyFont="1" applyFill="1" applyBorder="1" applyAlignment="1" applyProtection="1">
      <alignment horizontal="center" vertical="center"/>
      <protection locked="0"/>
    </xf>
    <xf numFmtId="44" fontId="7" fillId="0" borderId="33" xfId="4" applyNumberFormat="1" applyFont="1" applyFill="1" applyBorder="1" applyAlignment="1" applyProtection="1">
      <alignment horizontal="center" vertical="center"/>
      <protection locked="0"/>
    </xf>
    <xf numFmtId="44" fontId="7" fillId="0" borderId="34" xfId="4" applyNumberFormat="1" applyFont="1" applyFill="1" applyBorder="1" applyAlignment="1" applyProtection="1">
      <alignment horizontal="center" vertical="center"/>
      <protection locked="0"/>
    </xf>
    <xf numFmtId="44" fontId="7" fillId="0" borderId="14" xfId="4" applyNumberFormat="1" applyFont="1" applyBorder="1" applyAlignment="1" applyProtection="1">
      <alignment horizontal="center" vertical="center"/>
      <protection locked="0"/>
    </xf>
    <xf numFmtId="2" fontId="1" fillId="6" borderId="20" xfId="0" applyNumberFormat="1" applyFont="1" applyFill="1" applyBorder="1" applyAlignment="1" applyProtection="1">
      <alignment horizontal="center" vertical="center"/>
    </xf>
    <xf numFmtId="0" fontId="0" fillId="6" borderId="0" xfId="0" applyFill="1" applyProtection="1"/>
    <xf numFmtId="2" fontId="1" fillId="0" borderId="29" xfId="0" applyNumberFormat="1" applyFont="1" applyBorder="1" applyAlignment="1" applyProtection="1">
      <alignment horizontal="center" vertical="center"/>
    </xf>
    <xf numFmtId="2" fontId="1" fillId="0" borderId="15" xfId="0" applyNumberFormat="1" applyFont="1" applyBorder="1" applyAlignment="1" applyProtection="1">
      <alignment horizontal="center" vertical="center"/>
    </xf>
    <xf numFmtId="2" fontId="12" fillId="0" borderId="29" xfId="0" applyNumberFormat="1" applyFont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0" fontId="0" fillId="6" borderId="13" xfId="0" applyFont="1" applyFill="1" applyBorder="1" applyAlignment="1" applyProtection="1">
      <alignment horizontal="center" vertical="center"/>
    </xf>
    <xf numFmtId="0" fontId="0" fillId="6" borderId="14" xfId="0" applyFont="1" applyFill="1" applyBorder="1" applyAlignment="1" applyProtection="1">
      <alignment horizontal="center" vertical="center" wrapText="1"/>
    </xf>
    <xf numFmtId="0" fontId="0" fillId="6" borderId="14" xfId="0" applyFont="1" applyFill="1" applyBorder="1" applyAlignment="1" applyProtection="1">
      <alignment horizontal="center" vertical="center"/>
    </xf>
    <xf numFmtId="0" fontId="0" fillId="6" borderId="14" xfId="0" applyFont="1" applyFill="1" applyBorder="1" applyAlignment="1" applyProtection="1">
      <alignment vertical="center" wrapText="1"/>
    </xf>
    <xf numFmtId="2" fontId="0" fillId="6" borderId="29" xfId="0" applyNumberFormat="1" applyFont="1" applyFill="1" applyBorder="1" applyAlignment="1" applyProtection="1">
      <alignment horizontal="center" vertical="center"/>
    </xf>
    <xf numFmtId="2" fontId="1" fillId="0" borderId="15" xfId="0" applyNumberFormat="1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44" fontId="7" fillId="0" borderId="33" xfId="4" applyNumberFormat="1" applyFont="1" applyBorder="1" applyAlignment="1" applyProtection="1">
      <alignment horizontal="center" vertical="center"/>
    </xf>
    <xf numFmtId="44" fontId="7" fillId="0" borderId="29" xfId="4" applyNumberFormat="1" applyFont="1" applyBorder="1" applyAlignment="1" applyProtection="1">
      <alignment horizontal="center" vertical="center"/>
    </xf>
    <xf numFmtId="44" fontId="8" fillId="0" borderId="17" xfId="4" applyNumberFormat="1" applyFont="1" applyFill="1" applyBorder="1" applyAlignment="1" applyProtection="1">
      <alignment horizontal="center" vertical="center"/>
      <protection locked="0"/>
    </xf>
    <xf numFmtId="44" fontId="8" fillId="0" borderId="18" xfId="4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/>
    </xf>
    <xf numFmtId="44" fontId="8" fillId="0" borderId="14" xfId="4" applyNumberFormat="1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22" xfId="0" applyFont="1" applyFill="1" applyBorder="1" applyAlignment="1" applyProtection="1">
      <alignment horizontal="left" vertical="center"/>
    </xf>
    <xf numFmtId="0" fontId="6" fillId="3" borderId="23" xfId="0" applyFont="1" applyFill="1" applyBorder="1" applyAlignment="1" applyProtection="1">
      <alignment horizontal="left" vertical="center"/>
    </xf>
    <xf numFmtId="0" fontId="6" fillId="0" borderId="26" xfId="0" applyFont="1" applyBorder="1" applyAlignment="1" applyProtection="1">
      <alignment horizontal="left" vertical="center"/>
    </xf>
    <xf numFmtId="0" fontId="6" fillId="0" borderId="27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44" fontId="7" fillId="0" borderId="35" xfId="4" applyNumberFormat="1" applyFont="1" applyBorder="1" applyAlignment="1" applyProtection="1">
      <alignment horizontal="center" vertical="center"/>
      <protection locked="0"/>
    </xf>
    <xf numFmtId="44" fontId="7" fillId="0" borderId="18" xfId="4" applyNumberFormat="1" applyFont="1" applyBorder="1" applyAlignment="1" applyProtection="1">
      <alignment horizontal="center" vertical="center"/>
      <protection locked="0"/>
    </xf>
    <xf numFmtId="44" fontId="7" fillId="0" borderId="14" xfId="4" applyNumberFormat="1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left" vertical="center"/>
    </xf>
    <xf numFmtId="0" fontId="6" fillId="3" borderId="8" xfId="0" applyFont="1" applyFill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44" fontId="8" fillId="0" borderId="33" xfId="4" applyNumberFormat="1" applyFont="1" applyFill="1" applyBorder="1" applyAlignment="1" applyProtection="1">
      <alignment horizontal="center" vertical="center"/>
      <protection locked="0"/>
    </xf>
    <xf numFmtId="44" fontId="8" fillId="0" borderId="34" xfId="4" applyNumberFormat="1" applyFont="1" applyFill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 applyProtection="1">
      <alignment horizontal="center"/>
    </xf>
    <xf numFmtId="0" fontId="7" fillId="0" borderId="34" xfId="0" applyFont="1" applyFill="1" applyBorder="1" applyAlignment="1" applyProtection="1">
      <alignment horizontal="center"/>
    </xf>
    <xf numFmtId="44" fontId="7" fillId="0" borderId="33" xfId="4" applyNumberFormat="1" applyFont="1" applyFill="1" applyBorder="1" applyAlignment="1" applyProtection="1">
      <alignment horizontal="center" vertical="center"/>
      <protection locked="0"/>
    </xf>
    <xf numFmtId="44" fontId="7" fillId="0" borderId="34" xfId="4" applyNumberFormat="1" applyFont="1" applyFill="1" applyBorder="1" applyAlignment="1" applyProtection="1">
      <alignment horizontal="center" vertical="center"/>
      <protection locked="0"/>
    </xf>
    <xf numFmtId="44" fontId="6" fillId="0" borderId="21" xfId="4" applyNumberFormat="1" applyFont="1" applyBorder="1" applyAlignment="1" applyProtection="1">
      <alignment horizontal="center" vertical="center"/>
    </xf>
    <xf numFmtId="44" fontId="6" fillId="0" borderId="23" xfId="4" applyNumberFormat="1" applyFont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left" vertical="center"/>
    </xf>
    <xf numFmtId="0" fontId="6" fillId="0" borderId="27" xfId="0" applyFont="1" applyFill="1" applyBorder="1" applyAlignment="1" applyProtection="1">
      <alignment horizontal="left" vertical="center"/>
    </xf>
    <xf numFmtId="0" fontId="6" fillId="0" borderId="28" xfId="0" applyFont="1" applyFill="1" applyBorder="1" applyAlignment="1" applyProtection="1">
      <alignment horizontal="left" vertical="center"/>
    </xf>
    <xf numFmtId="44" fontId="7" fillId="0" borderId="14" xfId="4" applyNumberFormat="1" applyFont="1" applyBorder="1" applyAlignment="1" applyProtection="1">
      <alignment horizontal="center" vertical="center"/>
    </xf>
    <xf numFmtId="44" fontId="7" fillId="0" borderId="15" xfId="4" applyNumberFormat="1" applyFont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left" vertical="center"/>
    </xf>
    <xf numFmtId="0" fontId="6" fillId="0" borderId="14" xfId="0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left" vertical="center"/>
    </xf>
    <xf numFmtId="0" fontId="6" fillId="4" borderId="21" xfId="0" applyFont="1" applyFill="1" applyBorder="1" applyAlignment="1" applyProtection="1">
      <alignment horizontal="right" vertical="center"/>
    </xf>
    <xf numFmtId="0" fontId="6" fillId="4" borderId="22" xfId="0" applyFont="1" applyFill="1" applyBorder="1" applyAlignment="1" applyProtection="1">
      <alignment horizontal="right" vertical="center"/>
    </xf>
    <xf numFmtId="0" fontId="6" fillId="4" borderId="23" xfId="0" applyFont="1" applyFill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left" vertical="center"/>
    </xf>
    <xf numFmtId="44" fontId="7" fillId="0" borderId="33" xfId="4" applyNumberFormat="1" applyFont="1" applyBorder="1" applyAlignment="1" applyProtection="1">
      <alignment horizontal="center" vertical="center"/>
      <protection locked="0"/>
    </xf>
    <xf numFmtId="44" fontId="7" fillId="0" borderId="34" xfId="4" applyNumberFormat="1" applyFont="1" applyBorder="1" applyAlignment="1" applyProtection="1">
      <alignment horizontal="center" vertical="center"/>
      <protection locked="0"/>
    </xf>
    <xf numFmtId="44" fontId="7" fillId="0" borderId="14" xfId="4" applyNumberFormat="1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44" fontId="7" fillId="0" borderId="14" xfId="0" applyNumberFormat="1" applyFont="1" applyBorder="1" applyAlignment="1" applyProtection="1">
      <alignment horizontal="center" vertical="center"/>
      <protection locked="0"/>
    </xf>
    <xf numFmtId="44" fontId="7" fillId="0" borderId="19" xfId="4" applyNumberFormat="1" applyFont="1" applyBorder="1" applyAlignment="1" applyProtection="1">
      <alignment horizontal="center" vertical="center"/>
    </xf>
    <xf numFmtId="44" fontId="7" fillId="0" borderId="20" xfId="4" applyNumberFormat="1" applyFont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33" xfId="0" applyFont="1" applyBorder="1" applyAlignment="1" applyProtection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</xf>
    <xf numFmtId="0" fontId="6" fillId="5" borderId="21" xfId="0" applyFont="1" applyFill="1" applyBorder="1" applyAlignment="1" applyProtection="1">
      <alignment horizontal="right" vertical="center"/>
    </xf>
    <xf numFmtId="0" fontId="6" fillId="5" borderId="22" xfId="0" applyFont="1" applyFill="1" applyBorder="1" applyAlignment="1" applyProtection="1">
      <alignment horizontal="right" vertical="center"/>
    </xf>
    <xf numFmtId="0" fontId="6" fillId="5" borderId="23" xfId="0" applyFont="1" applyFill="1" applyBorder="1" applyAlignment="1" applyProtection="1">
      <alignment horizontal="right" vertical="center"/>
    </xf>
    <xf numFmtId="44" fontId="6" fillId="2" borderId="21" xfId="4" applyNumberFormat="1" applyFont="1" applyFill="1" applyBorder="1" applyAlignment="1" applyProtection="1">
      <alignment horizontal="center" vertical="center"/>
    </xf>
    <xf numFmtId="44" fontId="6" fillId="2" borderId="23" xfId="4" applyNumberFormat="1" applyFont="1" applyFill="1" applyBorder="1" applyAlignment="1" applyProtection="1">
      <alignment horizontal="center" vertical="center"/>
    </xf>
    <xf numFmtId="0" fontId="6" fillId="4" borderId="30" xfId="0" applyFont="1" applyFill="1" applyBorder="1" applyAlignment="1" applyProtection="1">
      <alignment horizontal="right" vertical="center"/>
    </xf>
    <xf numFmtId="0" fontId="6" fillId="4" borderId="31" xfId="0" applyFont="1" applyFill="1" applyBorder="1" applyAlignment="1" applyProtection="1">
      <alignment horizontal="right" vertical="center"/>
    </xf>
    <xf numFmtId="0" fontId="6" fillId="4" borderId="32" xfId="0" applyFont="1" applyFill="1" applyBorder="1" applyAlignment="1" applyProtection="1">
      <alignment horizontal="right" vertical="center"/>
    </xf>
    <xf numFmtId="2" fontId="0" fillId="0" borderId="33" xfId="0" applyNumberFormat="1" applyBorder="1" applyAlignment="1" applyProtection="1">
      <alignment horizontal="center" vertical="center"/>
    </xf>
    <xf numFmtId="2" fontId="0" fillId="0" borderId="24" xfId="0" applyNumberFormat="1" applyBorder="1" applyAlignment="1" applyProtection="1">
      <alignment horizontal="center" vertical="center"/>
    </xf>
    <xf numFmtId="2" fontId="0" fillId="0" borderId="34" xfId="0" applyNumberFormat="1" applyBorder="1" applyAlignment="1" applyProtection="1">
      <alignment horizontal="center" vertical="center"/>
    </xf>
    <xf numFmtId="2" fontId="0" fillId="0" borderId="33" xfId="0" applyNumberFormat="1" applyFont="1" applyBorder="1" applyAlignment="1" applyProtection="1">
      <alignment horizontal="center" vertical="center"/>
    </xf>
    <xf numFmtId="2" fontId="0" fillId="0" borderId="34" xfId="0" applyNumberFormat="1" applyFont="1" applyBorder="1" applyAlignment="1" applyProtection="1">
      <alignment horizontal="center" vertical="center"/>
    </xf>
    <xf numFmtId="2" fontId="0" fillId="0" borderId="33" xfId="0" applyNumberFormat="1" applyBorder="1" applyAlignment="1" applyProtection="1">
      <alignment horizontal="center" vertical="center" wrapText="1"/>
    </xf>
    <xf numFmtId="2" fontId="0" fillId="0" borderId="34" xfId="0" applyNumberFormat="1" applyBorder="1" applyAlignment="1" applyProtection="1">
      <alignment horizontal="center" vertical="center" wrapText="1"/>
    </xf>
    <xf numFmtId="2" fontId="0" fillId="0" borderId="33" xfId="0" applyNumberFormat="1" applyFont="1" applyBorder="1" applyAlignment="1" applyProtection="1">
      <alignment horizontal="center" vertical="center" wrapText="1"/>
    </xf>
    <xf numFmtId="2" fontId="0" fillId="0" borderId="34" xfId="0" applyNumberFormat="1" applyFont="1" applyBorder="1" applyAlignment="1" applyProtection="1">
      <alignment horizontal="center" vertical="center" wrapText="1"/>
    </xf>
    <xf numFmtId="2" fontId="12" fillId="0" borderId="33" xfId="0" applyNumberFormat="1" applyFont="1" applyBorder="1" applyAlignment="1" applyProtection="1">
      <alignment horizontal="center" vertical="center"/>
    </xf>
    <xf numFmtId="2" fontId="12" fillId="0" borderId="24" xfId="0" applyNumberFormat="1" applyFont="1" applyBorder="1" applyAlignment="1" applyProtection="1">
      <alignment horizontal="center" vertical="center"/>
    </xf>
    <xf numFmtId="2" fontId="12" fillId="0" borderId="34" xfId="0" applyNumberFormat="1" applyFont="1" applyBorder="1" applyAlignment="1" applyProtection="1">
      <alignment horizontal="center" vertical="center"/>
    </xf>
    <xf numFmtId="2" fontId="0" fillId="0" borderId="14" xfId="0" applyNumberFormat="1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right"/>
    </xf>
    <xf numFmtId="0" fontId="1" fillId="0" borderId="43" xfId="0" applyFont="1" applyBorder="1" applyAlignment="1" applyProtection="1">
      <alignment horizontal="right"/>
    </xf>
    <xf numFmtId="0" fontId="1" fillId="0" borderId="44" xfId="0" applyFont="1" applyBorder="1" applyAlignment="1" applyProtection="1">
      <alignment horizontal="right"/>
    </xf>
    <xf numFmtId="2" fontId="0" fillId="0" borderId="27" xfId="0" applyNumberFormat="1" applyFont="1" applyBorder="1" applyAlignment="1" applyProtection="1">
      <alignment horizontal="center" vertical="center"/>
    </xf>
    <xf numFmtId="2" fontId="0" fillId="0" borderId="28" xfId="0" applyNumberFormat="1" applyFont="1" applyBorder="1" applyAlignment="1" applyProtection="1">
      <alignment horizontal="center" vertical="center"/>
    </xf>
    <xf numFmtId="2" fontId="0" fillId="0" borderId="24" xfId="0" applyNumberFormat="1" applyFont="1" applyBorder="1" applyAlignment="1" applyProtection="1">
      <alignment horizontal="center" vertical="center"/>
    </xf>
    <xf numFmtId="2" fontId="0" fillId="0" borderId="29" xfId="0" applyNumberFormat="1" applyFont="1" applyBorder="1" applyAlignment="1" applyProtection="1">
      <alignment horizontal="center" vertical="center"/>
    </xf>
    <xf numFmtId="2" fontId="0" fillId="0" borderId="45" xfId="0" applyNumberFormat="1" applyFont="1" applyBorder="1" applyAlignment="1" applyProtection="1">
      <alignment horizontal="center" vertical="center"/>
    </xf>
    <xf numFmtId="2" fontId="0" fillId="0" borderId="46" xfId="0" applyNumberFormat="1" applyFont="1" applyBorder="1" applyAlignment="1" applyProtection="1">
      <alignment horizontal="center" vertical="center"/>
    </xf>
    <xf numFmtId="2" fontId="0" fillId="0" borderId="48" xfId="0" applyNumberFormat="1" applyFont="1" applyBorder="1" applyAlignment="1" applyProtection="1">
      <alignment horizontal="center" vertical="center"/>
    </xf>
    <xf numFmtId="2" fontId="0" fillId="0" borderId="45" xfId="0" applyNumberFormat="1" applyFont="1" applyFill="1" applyBorder="1" applyAlignment="1" applyProtection="1">
      <alignment horizontal="center" vertical="center"/>
    </xf>
    <xf numFmtId="2" fontId="0" fillId="0" borderId="46" xfId="0" applyNumberFormat="1" applyFont="1" applyFill="1" applyBorder="1" applyAlignment="1" applyProtection="1">
      <alignment horizontal="center" vertical="center"/>
    </xf>
    <xf numFmtId="2" fontId="0" fillId="0" borderId="48" xfId="0" applyNumberFormat="1" applyFont="1" applyFill="1" applyBorder="1" applyAlignment="1" applyProtection="1">
      <alignment horizontal="center" vertical="center"/>
    </xf>
    <xf numFmtId="2" fontId="0" fillId="0" borderId="45" xfId="0" applyNumberFormat="1" applyFont="1" applyBorder="1" applyAlignment="1" applyProtection="1">
      <alignment horizontal="center" vertical="center" wrapText="1"/>
    </xf>
    <xf numFmtId="2" fontId="0" fillId="0" borderId="48" xfId="0" applyNumberFormat="1" applyFont="1" applyBorder="1" applyAlignment="1" applyProtection="1">
      <alignment horizontal="center" vertical="center" wrapText="1"/>
    </xf>
    <xf numFmtId="2" fontId="0" fillId="0" borderId="45" xfId="0" applyNumberFormat="1" applyBorder="1" applyAlignment="1" applyProtection="1">
      <alignment horizontal="center" vertical="center"/>
    </xf>
    <xf numFmtId="2" fontId="0" fillId="0" borderId="48" xfId="0" applyNumberFormat="1" applyBorder="1" applyAlignment="1" applyProtection="1">
      <alignment horizontal="center" vertical="center"/>
    </xf>
    <xf numFmtId="2" fontId="0" fillId="0" borderId="45" xfId="0" applyNumberFormat="1" applyBorder="1" applyAlignment="1" applyProtection="1">
      <alignment horizontal="center" vertical="center" wrapText="1"/>
    </xf>
    <xf numFmtId="2" fontId="0" fillId="0" borderId="48" xfId="0" applyNumberFormat="1" applyBorder="1" applyAlignment="1" applyProtection="1">
      <alignment horizontal="center" vertical="center" wrapText="1"/>
    </xf>
    <xf numFmtId="2" fontId="0" fillId="0" borderId="24" xfId="0" applyNumberFormat="1" applyBorder="1" applyAlignment="1" applyProtection="1">
      <alignment horizontal="center" vertical="center" wrapText="1"/>
    </xf>
    <xf numFmtId="0" fontId="0" fillId="0" borderId="36" xfId="0" applyFont="1" applyBorder="1" applyAlignment="1" applyProtection="1">
      <alignment horizontal="right" wrapText="1"/>
    </xf>
    <xf numFmtId="0" fontId="0" fillId="0" borderId="24" xfId="0" applyFont="1" applyBorder="1" applyAlignment="1" applyProtection="1">
      <alignment horizontal="right" wrapText="1"/>
    </xf>
    <xf numFmtId="0" fontId="0" fillId="0" borderId="34" xfId="0" applyFont="1" applyBorder="1" applyAlignment="1" applyProtection="1">
      <alignment horizontal="right" wrapText="1"/>
    </xf>
    <xf numFmtId="2" fontId="0" fillId="0" borderId="24" xfId="0" applyNumberFormat="1" applyFont="1" applyBorder="1" applyAlignment="1" applyProtection="1">
      <alignment horizontal="center" vertical="center" wrapText="1"/>
    </xf>
    <xf numFmtId="2" fontId="0" fillId="0" borderId="33" xfId="0" applyNumberFormat="1" applyFont="1" applyFill="1" applyBorder="1" applyAlignment="1" applyProtection="1">
      <alignment horizontal="center" vertical="center"/>
    </xf>
    <xf numFmtId="2" fontId="0" fillId="0" borderId="24" xfId="0" applyNumberFormat="1" applyFont="1" applyFill="1" applyBorder="1" applyAlignment="1" applyProtection="1">
      <alignment horizontal="center" vertical="center"/>
    </xf>
    <xf numFmtId="2" fontId="0" fillId="0" borderId="34" xfId="0" applyNumberFormat="1" applyFont="1" applyFill="1" applyBorder="1" applyAlignment="1" applyProtection="1">
      <alignment horizontal="center" vertical="center"/>
    </xf>
    <xf numFmtId="0" fontId="1" fillId="6" borderId="42" xfId="0" applyFont="1" applyFill="1" applyBorder="1" applyAlignment="1" applyProtection="1">
      <alignment horizontal="right"/>
    </xf>
    <xf numFmtId="0" fontId="1" fillId="6" borderId="43" xfId="0" applyFont="1" applyFill="1" applyBorder="1" applyAlignment="1" applyProtection="1">
      <alignment horizontal="right"/>
    </xf>
    <xf numFmtId="0" fontId="1" fillId="6" borderId="44" xfId="0" applyFont="1" applyFill="1" applyBorder="1" applyAlignment="1" applyProtection="1">
      <alignment horizontal="right"/>
    </xf>
    <xf numFmtId="2" fontId="0" fillId="0" borderId="26" xfId="0" applyNumberFormat="1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right"/>
    </xf>
    <xf numFmtId="0" fontId="1" fillId="0" borderId="17" xfId="0" applyFont="1" applyBorder="1" applyAlignment="1" applyProtection="1">
      <alignment horizontal="right"/>
    </xf>
    <xf numFmtId="0" fontId="1" fillId="0" borderId="18" xfId="0" applyFont="1" applyBorder="1" applyAlignment="1" applyProtection="1">
      <alignment horizontal="right"/>
    </xf>
    <xf numFmtId="9" fontId="0" fillId="0" borderId="33" xfId="3" applyFont="1" applyBorder="1" applyAlignment="1" applyProtection="1">
      <alignment horizontal="center" vertical="center"/>
    </xf>
    <xf numFmtId="9" fontId="0" fillId="0" borderId="34" xfId="3" applyFont="1" applyBorder="1" applyAlignment="1" applyProtection="1">
      <alignment horizontal="center" vertical="center"/>
    </xf>
    <xf numFmtId="0" fontId="1" fillId="0" borderId="45" xfId="0" applyFont="1" applyBorder="1" applyAlignment="1" applyProtection="1">
      <alignment horizontal="left"/>
    </xf>
    <xf numFmtId="0" fontId="1" fillId="0" borderId="46" xfId="0" applyFont="1" applyBorder="1" applyAlignment="1" applyProtection="1">
      <alignment horizontal="left"/>
    </xf>
    <xf numFmtId="0" fontId="1" fillId="0" borderId="47" xfId="0" applyFont="1" applyBorder="1" applyAlignment="1" applyProtection="1">
      <alignment horizontal="left"/>
    </xf>
    <xf numFmtId="9" fontId="0" fillId="0" borderId="33" xfId="3" applyFont="1" applyBorder="1" applyAlignment="1" applyProtection="1">
      <alignment horizontal="center" vertical="center" wrapText="1"/>
    </xf>
    <xf numFmtId="9" fontId="0" fillId="0" borderId="24" xfId="3" applyFont="1" applyBorder="1" applyAlignment="1" applyProtection="1">
      <alignment horizontal="center" vertical="center" wrapText="1"/>
    </xf>
    <xf numFmtId="9" fontId="0" fillId="0" borderId="34" xfId="3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30" xfId="0" applyFont="1" applyBorder="1" applyAlignment="1" applyProtection="1">
      <alignment horizontal="center"/>
    </xf>
    <xf numFmtId="0" fontId="1" fillId="0" borderId="31" xfId="0" applyFont="1" applyBorder="1" applyAlignment="1" applyProtection="1">
      <alignment horizontal="center"/>
    </xf>
    <xf numFmtId="0" fontId="1" fillId="0" borderId="32" xfId="0" applyFont="1" applyBorder="1" applyAlignment="1" applyProtection="1">
      <alignment horizontal="center"/>
    </xf>
    <xf numFmtId="2" fontId="1" fillId="2" borderId="21" xfId="0" applyNumberFormat="1" applyFont="1" applyFill="1" applyBorder="1" applyAlignment="1" applyProtection="1">
      <alignment horizontal="center" vertical="center"/>
    </xf>
    <xf numFmtId="2" fontId="1" fillId="2" borderId="22" xfId="0" applyNumberFormat="1" applyFont="1" applyFill="1" applyBorder="1" applyAlignment="1" applyProtection="1">
      <alignment horizontal="center" vertical="center"/>
    </xf>
    <xf numFmtId="2" fontId="1" fillId="2" borderId="23" xfId="0" applyNumberFormat="1" applyFont="1" applyFill="1" applyBorder="1" applyAlignment="1" applyProtection="1">
      <alignment horizontal="center" vertical="center"/>
    </xf>
    <xf numFmtId="0" fontId="1" fillId="3" borderId="30" xfId="0" applyFont="1" applyFill="1" applyBorder="1" applyAlignment="1" applyProtection="1">
      <alignment horizontal="left" vertical="center"/>
    </xf>
    <xf numFmtId="0" fontId="1" fillId="3" borderId="31" xfId="0" applyFont="1" applyFill="1" applyBorder="1" applyAlignment="1" applyProtection="1">
      <alignment horizontal="left" vertical="center"/>
    </xf>
    <xf numFmtId="0" fontId="1" fillId="3" borderId="32" xfId="0" applyFont="1" applyFill="1" applyBorder="1" applyAlignment="1" applyProtection="1">
      <alignment horizontal="left" vertical="center"/>
    </xf>
    <xf numFmtId="0" fontId="0" fillId="0" borderId="33" xfId="0" applyFont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horizontal="center" vertical="center"/>
    </xf>
    <xf numFmtId="0" fontId="0" fillId="0" borderId="33" xfId="0" applyFont="1" applyBorder="1" applyAlignment="1" applyProtection="1">
      <alignment horizontal="center" vertical="center" wrapText="1"/>
    </xf>
    <xf numFmtId="0" fontId="0" fillId="0" borderId="34" xfId="0" applyFont="1" applyBorder="1" applyAlignment="1" applyProtection="1">
      <alignment horizontal="center" vertical="center" wrapText="1"/>
    </xf>
    <xf numFmtId="2" fontId="0" fillId="0" borderId="33" xfId="0" applyNumberFormat="1" applyFont="1" applyFill="1" applyBorder="1" applyAlignment="1" applyProtection="1">
      <alignment horizontal="center" vertical="center" wrapText="1"/>
    </xf>
    <xf numFmtId="2" fontId="0" fillId="0" borderId="24" xfId="0" applyNumberFormat="1" applyFont="1" applyFill="1" applyBorder="1" applyAlignment="1" applyProtection="1">
      <alignment horizontal="center" vertical="center" wrapText="1"/>
    </xf>
    <xf numFmtId="2" fontId="0" fillId="0" borderId="34" xfId="0" applyNumberFormat="1" applyFont="1" applyFill="1" applyBorder="1" applyAlignment="1" applyProtection="1">
      <alignment horizontal="center" vertical="center" wrapText="1"/>
    </xf>
    <xf numFmtId="2" fontId="0" fillId="0" borderId="45" xfId="0" applyNumberFormat="1" applyFill="1" applyBorder="1" applyAlignment="1" applyProtection="1">
      <alignment horizontal="center" vertical="center" wrapText="1"/>
    </xf>
    <xf numFmtId="2" fontId="0" fillId="0" borderId="48" xfId="0" applyNumberFormat="1" applyFill="1" applyBorder="1" applyAlignment="1" applyProtection="1">
      <alignment horizontal="center" vertical="center" wrapText="1"/>
    </xf>
    <xf numFmtId="2" fontId="0" fillId="0" borderId="33" xfId="0" applyNumberFormat="1" applyFill="1" applyBorder="1" applyAlignment="1" applyProtection="1">
      <alignment horizontal="center" vertical="center" wrapText="1"/>
    </xf>
    <xf numFmtId="2" fontId="0" fillId="0" borderId="34" xfId="0" applyNumberFormat="1" applyFill="1" applyBorder="1" applyAlignment="1" applyProtection="1">
      <alignment horizontal="center" vertical="center" wrapText="1"/>
    </xf>
    <xf numFmtId="0" fontId="1" fillId="3" borderId="21" xfId="0" applyFont="1" applyFill="1" applyBorder="1" applyAlignment="1" applyProtection="1">
      <alignment horizontal="left"/>
    </xf>
    <xf numFmtId="0" fontId="1" fillId="3" borderId="22" xfId="0" applyFont="1" applyFill="1" applyBorder="1" applyAlignment="1" applyProtection="1">
      <alignment horizontal="left"/>
    </xf>
    <xf numFmtId="0" fontId="1" fillId="3" borderId="23" xfId="0" applyFont="1" applyFill="1" applyBorder="1" applyAlignment="1" applyProtection="1">
      <alignment horizontal="left"/>
    </xf>
    <xf numFmtId="2" fontId="0" fillId="0" borderId="49" xfId="0" applyNumberFormat="1" applyFont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0" borderId="45" xfId="0" applyFont="1" applyFill="1" applyBorder="1" applyAlignment="1" applyProtection="1">
      <alignment horizontal="left"/>
    </xf>
    <xf numFmtId="0" fontId="1" fillId="0" borderId="46" xfId="0" applyFont="1" applyFill="1" applyBorder="1" applyAlignment="1" applyProtection="1">
      <alignment horizontal="left"/>
    </xf>
    <xf numFmtId="0" fontId="1" fillId="0" borderId="47" xfId="0" applyFont="1" applyFill="1" applyBorder="1" applyAlignment="1" applyProtection="1">
      <alignment horizontal="left"/>
    </xf>
    <xf numFmtId="0" fontId="0" fillId="0" borderId="33" xfId="0" applyFont="1" applyBorder="1" applyAlignment="1" applyProtection="1">
      <alignment horizontal="left" vertical="center" wrapText="1"/>
    </xf>
    <xf numFmtId="0" fontId="0" fillId="0" borderId="24" xfId="0" applyFont="1" applyBorder="1" applyAlignment="1" applyProtection="1">
      <alignment horizontal="left" vertical="center" wrapText="1"/>
    </xf>
    <xf numFmtId="0" fontId="0" fillId="0" borderId="29" xfId="0" applyFont="1" applyBorder="1" applyAlignment="1" applyProtection="1">
      <alignment horizontal="left" vertical="center" wrapText="1"/>
    </xf>
    <xf numFmtId="0" fontId="1" fillId="0" borderId="45" xfId="0" applyFont="1" applyBorder="1" applyAlignment="1" applyProtection="1">
      <alignment horizontal="left" vertical="center" wrapText="1"/>
    </xf>
    <xf numFmtId="0" fontId="1" fillId="0" borderId="46" xfId="0" applyFont="1" applyBorder="1" applyAlignment="1" applyProtection="1">
      <alignment horizontal="left" vertical="center" wrapText="1"/>
    </xf>
    <xf numFmtId="0" fontId="1" fillId="0" borderId="47" xfId="0" applyFont="1" applyBorder="1" applyAlignment="1" applyProtection="1">
      <alignment horizontal="left" vertical="center" wrapText="1"/>
    </xf>
    <xf numFmtId="2" fontId="0" fillId="0" borderId="26" xfId="0" applyNumberFormat="1" applyFont="1" applyBorder="1" applyAlignment="1" applyProtection="1">
      <alignment horizontal="center" vertical="center" wrapText="1"/>
    </xf>
    <xf numFmtId="2" fontId="0" fillId="0" borderId="49" xfId="0" applyNumberFormat="1" applyFont="1" applyBorder="1" applyAlignment="1" applyProtection="1">
      <alignment horizontal="center" vertical="center" wrapText="1"/>
    </xf>
    <xf numFmtId="0" fontId="1" fillId="0" borderId="33" xfId="0" applyFont="1" applyBorder="1" applyAlignment="1" applyProtection="1">
      <alignment horizontal="left"/>
    </xf>
    <xf numFmtId="0" fontId="1" fillId="0" borderId="24" xfId="0" applyFont="1" applyBorder="1" applyAlignment="1" applyProtection="1">
      <alignment horizontal="left"/>
    </xf>
    <xf numFmtId="0" fontId="1" fillId="0" borderId="29" xfId="0" applyFont="1" applyBorder="1" applyAlignment="1" applyProtection="1">
      <alignment horizontal="left"/>
    </xf>
    <xf numFmtId="2" fontId="0" fillId="0" borderId="46" xfId="0" applyNumberFormat="1" applyBorder="1" applyAlignment="1" applyProtection="1">
      <alignment horizontal="center" vertical="center"/>
    </xf>
    <xf numFmtId="2" fontId="0" fillId="6" borderId="33" xfId="0" applyNumberFormat="1" applyFont="1" applyFill="1" applyBorder="1" applyAlignment="1" applyProtection="1">
      <alignment horizontal="center" vertical="center" wrapText="1"/>
    </xf>
    <xf numFmtId="2" fontId="0" fillId="6" borderId="34" xfId="0" applyNumberFormat="1" applyFont="1" applyFill="1" applyBorder="1" applyAlignment="1" applyProtection="1">
      <alignment horizontal="center" vertical="center" wrapText="1"/>
    </xf>
    <xf numFmtId="2" fontId="0" fillId="6" borderId="33" xfId="0" applyNumberFormat="1" applyFont="1" applyFill="1" applyBorder="1" applyAlignment="1" applyProtection="1">
      <alignment horizontal="center" vertical="center"/>
    </xf>
    <xf numFmtId="2" fontId="0" fillId="6" borderId="34" xfId="0" applyNumberFormat="1" applyFont="1" applyFill="1" applyBorder="1" applyAlignment="1" applyProtection="1">
      <alignment horizontal="center" vertical="center"/>
    </xf>
    <xf numFmtId="2" fontId="0" fillId="0" borderId="20" xfId="0" applyNumberFormat="1" applyFont="1" applyBorder="1" applyAlignment="1" applyProtection="1">
      <alignment horizontal="center" vertical="center"/>
    </xf>
    <xf numFmtId="2" fontId="0" fillId="0" borderId="12" xfId="0" applyNumberFormat="1" applyFont="1" applyBorder="1" applyAlignment="1" applyProtection="1">
      <alignment horizontal="center" vertical="center"/>
    </xf>
    <xf numFmtId="169" fontId="0" fillId="0" borderId="33" xfId="0" applyNumberFormat="1" applyFont="1" applyBorder="1" applyAlignment="1" applyProtection="1">
      <alignment horizontal="center" vertical="center"/>
    </xf>
    <xf numFmtId="169" fontId="0" fillId="0" borderId="34" xfId="0" applyNumberFormat="1" applyFont="1" applyBorder="1" applyAlignment="1" applyProtection="1">
      <alignment horizontal="center" vertical="center"/>
    </xf>
    <xf numFmtId="2" fontId="0" fillId="0" borderId="46" xfId="0" applyNumberFormat="1" applyFont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right" vertical="center"/>
    </xf>
    <xf numFmtId="0" fontId="1" fillId="0" borderId="24" xfId="0" applyFont="1" applyBorder="1" applyAlignment="1" applyProtection="1">
      <alignment horizontal="right" vertical="center"/>
    </xf>
    <xf numFmtId="0" fontId="1" fillId="0" borderId="34" xfId="0" applyFont="1" applyBorder="1" applyAlignment="1" applyProtection="1">
      <alignment horizontal="right" vertical="center"/>
    </xf>
    <xf numFmtId="0" fontId="0" fillId="0" borderId="45" xfId="0" applyFont="1" applyBorder="1" applyAlignment="1" applyProtection="1">
      <alignment horizontal="center" vertical="center"/>
    </xf>
    <xf numFmtId="0" fontId="0" fillId="0" borderId="48" xfId="0" applyFont="1" applyBorder="1" applyAlignment="1" applyProtection="1">
      <alignment horizontal="center" vertical="center"/>
    </xf>
    <xf numFmtId="0" fontId="1" fillId="3" borderId="21" xfId="0" applyFont="1" applyFill="1" applyBorder="1" applyAlignment="1" applyProtection="1">
      <alignment horizontal="left" vertical="center"/>
    </xf>
    <xf numFmtId="0" fontId="1" fillId="3" borderId="22" xfId="0" applyFont="1" applyFill="1" applyBorder="1" applyAlignment="1" applyProtection="1">
      <alignment horizontal="left" vertical="center"/>
    </xf>
    <xf numFmtId="0" fontId="1" fillId="3" borderId="23" xfId="0" applyFont="1" applyFill="1" applyBorder="1" applyAlignment="1" applyProtection="1">
      <alignment horizontal="left" vertical="center"/>
    </xf>
    <xf numFmtId="167" fontId="0" fillId="0" borderId="14" xfId="0" applyNumberFormat="1" applyBorder="1" applyAlignment="1">
      <alignment horizontal="center"/>
    </xf>
    <xf numFmtId="167" fontId="0" fillId="0" borderId="15" xfId="0" applyNumberFormat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0" borderId="19" xfId="0" applyBorder="1" applyAlignment="1">
      <alignment horizontal="right"/>
    </xf>
    <xf numFmtId="0" fontId="11" fillId="0" borderId="39" xfId="0" applyFont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" fillId="2" borderId="21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left"/>
    </xf>
    <xf numFmtId="0" fontId="0" fillId="0" borderId="36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7">
    <cellStyle name="Moeda" xfId="4" builtinId="4"/>
    <cellStyle name="Moeda 2" xfId="2" xr:uid="{00000000-0005-0000-0000-000001000000}"/>
    <cellStyle name="Normal" xfId="0" builtinId="0"/>
    <cellStyle name="Normal 3" xfId="1" xr:uid="{00000000-0005-0000-0000-000003000000}"/>
    <cellStyle name="Normal 4" xfId="5" xr:uid="{00000000-0005-0000-0000-000004000000}"/>
    <cellStyle name="Porcentagem" xfId="3" builtinId="5"/>
    <cellStyle name="Vírgula 5" xfId="6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2"/>
  <sheetViews>
    <sheetView tabSelected="1" topLeftCell="A28" zoomScaleNormal="100" workbookViewId="0">
      <selection activeCell="M9" sqref="M9"/>
    </sheetView>
  </sheetViews>
  <sheetFormatPr defaultColWidth="8.88671875" defaultRowHeight="15.6" x14ac:dyDescent="0.3"/>
  <cols>
    <col min="1" max="1" width="6.5546875" style="67" customWidth="1"/>
    <col min="2" max="2" width="13.88671875" style="67" customWidth="1"/>
    <col min="3" max="3" width="9" style="67" customWidth="1"/>
    <col min="4" max="4" width="77.109375" style="243" bestFit="1" customWidth="1"/>
    <col min="5" max="5" width="10.109375" style="66" bestFit="1" customWidth="1"/>
    <col min="6" max="6" width="8.5546875" style="67" customWidth="1"/>
    <col min="7" max="7" width="14.6640625" style="68" bestFit="1" customWidth="1"/>
    <col min="8" max="8" width="14" style="68" customWidth="1"/>
    <col min="9" max="9" width="10.33203125" style="176" customWidth="1"/>
    <col min="10" max="10" width="6.6640625" style="68" customWidth="1"/>
    <col min="11" max="11" width="15.88671875" style="68" customWidth="1"/>
    <col min="12" max="16384" width="8.88671875" style="27"/>
  </cols>
  <sheetData>
    <row r="1" spans="1:11" x14ac:dyDescent="0.3">
      <c r="A1" s="325" t="s">
        <v>66</v>
      </c>
      <c r="B1" s="326"/>
      <c r="C1" s="326"/>
      <c r="D1" s="326"/>
      <c r="E1" s="326"/>
      <c r="F1" s="326"/>
      <c r="G1" s="326"/>
      <c r="H1" s="326"/>
      <c r="I1" s="326"/>
      <c r="J1" s="326"/>
      <c r="K1" s="327"/>
    </row>
    <row r="2" spans="1:11" x14ac:dyDescent="0.3">
      <c r="A2" s="325" t="s">
        <v>1516</v>
      </c>
      <c r="B2" s="326"/>
      <c r="C2" s="326"/>
      <c r="D2" s="326"/>
      <c r="E2" s="326"/>
      <c r="F2" s="326"/>
      <c r="G2" s="326"/>
      <c r="H2" s="326"/>
      <c r="I2" s="326"/>
      <c r="J2" s="326"/>
      <c r="K2" s="327"/>
    </row>
    <row r="3" spans="1:11" ht="16.2" thickBot="1" x14ac:dyDescent="0.35">
      <c r="A3" s="325" t="s">
        <v>1118</v>
      </c>
      <c r="B3" s="326"/>
      <c r="C3" s="326"/>
      <c r="D3" s="326"/>
      <c r="E3" s="326"/>
      <c r="F3" s="326"/>
      <c r="G3" s="326"/>
      <c r="H3" s="326"/>
      <c r="I3" s="326"/>
      <c r="J3" s="326"/>
      <c r="K3" s="327"/>
    </row>
    <row r="4" spans="1:11" ht="16.2" thickBot="1" x14ac:dyDescent="0.35">
      <c r="A4" s="30" t="s">
        <v>0</v>
      </c>
      <c r="B4" s="328" t="s">
        <v>1</v>
      </c>
      <c r="C4" s="329"/>
      <c r="D4" s="28" t="s">
        <v>2</v>
      </c>
      <c r="E4" s="29" t="s">
        <v>3</v>
      </c>
      <c r="F4" s="30" t="s">
        <v>4</v>
      </c>
      <c r="G4" s="31" t="s">
        <v>5</v>
      </c>
      <c r="H4" s="31" t="s">
        <v>6</v>
      </c>
      <c r="I4" s="173" t="s">
        <v>1515</v>
      </c>
      <c r="J4" s="346" t="s">
        <v>8</v>
      </c>
      <c r="K4" s="347"/>
    </row>
    <row r="5" spans="1:11" ht="16.2" thickBot="1" x14ac:dyDescent="0.35">
      <c r="A5" s="300" t="s">
        <v>9</v>
      </c>
      <c r="B5" s="301"/>
      <c r="C5" s="301"/>
      <c r="D5" s="301"/>
      <c r="E5" s="301"/>
      <c r="F5" s="301"/>
      <c r="G5" s="301"/>
      <c r="H5" s="301"/>
      <c r="I5" s="301"/>
      <c r="J5" s="301"/>
      <c r="K5" s="302"/>
    </row>
    <row r="6" spans="1:11" x14ac:dyDescent="0.3">
      <c r="A6" s="178">
        <v>1</v>
      </c>
      <c r="B6" s="190" t="s">
        <v>10</v>
      </c>
      <c r="C6" s="190">
        <v>20000</v>
      </c>
      <c r="D6" s="330" t="s">
        <v>11</v>
      </c>
      <c r="E6" s="330"/>
      <c r="F6" s="330"/>
      <c r="G6" s="330"/>
      <c r="H6" s="330"/>
      <c r="I6" s="330"/>
      <c r="J6" s="330"/>
      <c r="K6" s="331"/>
    </row>
    <row r="7" spans="1:11" x14ac:dyDescent="0.3">
      <c r="A7" s="179" t="s">
        <v>12</v>
      </c>
      <c r="B7" s="34" t="s">
        <v>10</v>
      </c>
      <c r="C7" s="284">
        <v>20190</v>
      </c>
      <c r="D7" s="32" t="s">
        <v>69</v>
      </c>
      <c r="E7" s="33">
        <f>'MEMÓRIA DE CÁLCULO'!J9</f>
        <v>15194.77</v>
      </c>
      <c r="F7" s="34" t="s">
        <v>16</v>
      </c>
      <c r="G7" s="271"/>
      <c r="H7" s="271"/>
      <c r="I7" s="177"/>
      <c r="J7" s="285">
        <f>(G7)*E7*1.2665</f>
        <v>0</v>
      </c>
      <c r="K7" s="286"/>
    </row>
    <row r="8" spans="1:11" ht="31.2" x14ac:dyDescent="0.3">
      <c r="A8" s="179" t="s">
        <v>14</v>
      </c>
      <c r="B8" s="34" t="s">
        <v>70</v>
      </c>
      <c r="C8" s="34">
        <v>10776</v>
      </c>
      <c r="D8" s="35" t="s">
        <v>71</v>
      </c>
      <c r="E8" s="33">
        <f>'MEMÓRIA DE CÁLCULO'!J12</f>
        <v>12</v>
      </c>
      <c r="F8" s="34" t="s">
        <v>1519</v>
      </c>
      <c r="G8" s="332"/>
      <c r="H8" s="333"/>
      <c r="I8" s="177"/>
      <c r="J8" s="285">
        <f>E8*G8*1.2665</f>
        <v>0</v>
      </c>
      <c r="K8" s="286"/>
    </row>
    <row r="9" spans="1:11" ht="31.2" x14ac:dyDescent="0.3">
      <c r="A9" s="179" t="s">
        <v>15</v>
      </c>
      <c r="B9" s="34" t="s">
        <v>70</v>
      </c>
      <c r="C9" s="34">
        <v>10779</v>
      </c>
      <c r="D9" s="35" t="s">
        <v>72</v>
      </c>
      <c r="E9" s="33">
        <f>'MEMÓRIA DE CÁLCULO'!J15</f>
        <v>12</v>
      </c>
      <c r="F9" s="34" t="s">
        <v>1519</v>
      </c>
      <c r="G9" s="334"/>
      <c r="H9" s="334"/>
      <c r="I9" s="177"/>
      <c r="J9" s="285">
        <f>E9*G9*1.2665</f>
        <v>0</v>
      </c>
      <c r="K9" s="286"/>
    </row>
    <row r="10" spans="1:11" ht="46.8" x14ac:dyDescent="0.3">
      <c r="A10" s="179" t="s">
        <v>17</v>
      </c>
      <c r="B10" s="34" t="s">
        <v>10</v>
      </c>
      <c r="C10" s="34">
        <v>20107</v>
      </c>
      <c r="D10" s="35" t="s">
        <v>1450</v>
      </c>
      <c r="E10" s="33">
        <f>'MEMÓRIA DE CÁLCULO'!J18</f>
        <v>2</v>
      </c>
      <c r="F10" s="34" t="s">
        <v>1517</v>
      </c>
      <c r="G10" s="271"/>
      <c r="H10" s="271"/>
      <c r="I10" s="177"/>
      <c r="J10" s="285">
        <f>E10*H10*1.2665</f>
        <v>0</v>
      </c>
      <c r="K10" s="286"/>
    </row>
    <row r="11" spans="1:11" ht="46.8" x14ac:dyDescent="0.3">
      <c r="A11" s="179" t="s">
        <v>18</v>
      </c>
      <c r="B11" s="34" t="s">
        <v>10</v>
      </c>
      <c r="C11" s="34">
        <v>20303</v>
      </c>
      <c r="D11" s="35" t="s">
        <v>1496</v>
      </c>
      <c r="E11" s="33">
        <f>'MEMÓRIA DE CÁLCULO'!J21</f>
        <v>1</v>
      </c>
      <c r="F11" s="34" t="s">
        <v>1517</v>
      </c>
      <c r="G11" s="271"/>
      <c r="H11" s="271"/>
      <c r="I11" s="177"/>
      <c r="J11" s="285">
        <f t="shared" ref="J11:J18" si="0">(G11+H11)*E11*1.2665</f>
        <v>0</v>
      </c>
      <c r="K11" s="286"/>
    </row>
    <row r="12" spans="1:11" ht="46.8" x14ac:dyDescent="0.3">
      <c r="A12" s="179" t="s">
        <v>81</v>
      </c>
      <c r="B12" s="34" t="s">
        <v>10</v>
      </c>
      <c r="C12" s="34">
        <v>20400</v>
      </c>
      <c r="D12" s="35" t="s">
        <v>1499</v>
      </c>
      <c r="E12" s="33">
        <f>'MEMÓRIA DE CÁLCULO'!J24</f>
        <v>1</v>
      </c>
      <c r="F12" s="34" t="s">
        <v>1517</v>
      </c>
      <c r="G12" s="271"/>
      <c r="H12" s="271"/>
      <c r="I12" s="177"/>
      <c r="J12" s="285">
        <f t="shared" si="0"/>
        <v>0</v>
      </c>
      <c r="K12" s="286"/>
    </row>
    <row r="13" spans="1:11" x14ac:dyDescent="0.3">
      <c r="A13" s="179" t="s">
        <v>82</v>
      </c>
      <c r="B13" s="34" t="s">
        <v>10</v>
      </c>
      <c r="C13" s="34">
        <v>20501</v>
      </c>
      <c r="D13" s="35" t="s">
        <v>73</v>
      </c>
      <c r="E13" s="33">
        <f>'MEMÓRIA DE CÁLCULO'!J27</f>
        <v>1</v>
      </c>
      <c r="F13" s="34" t="s">
        <v>1517</v>
      </c>
      <c r="G13" s="271"/>
      <c r="H13" s="271"/>
      <c r="I13" s="177"/>
      <c r="J13" s="285">
        <f t="shared" si="0"/>
        <v>0</v>
      </c>
      <c r="K13" s="286"/>
    </row>
    <row r="14" spans="1:11" ht="46.8" x14ac:dyDescent="0.3">
      <c r="A14" s="179" t="s">
        <v>83</v>
      </c>
      <c r="B14" s="34" t="s">
        <v>10</v>
      </c>
      <c r="C14" s="34">
        <v>20701</v>
      </c>
      <c r="D14" s="35" t="s">
        <v>75</v>
      </c>
      <c r="E14" s="33">
        <f>'MEMÓRIA DE CÁLCULO'!J30</f>
        <v>1733</v>
      </c>
      <c r="F14" s="34" t="s">
        <v>16</v>
      </c>
      <c r="G14" s="271"/>
      <c r="H14" s="271"/>
      <c r="I14" s="177"/>
      <c r="J14" s="285">
        <f t="shared" si="0"/>
        <v>0</v>
      </c>
      <c r="K14" s="286"/>
    </row>
    <row r="15" spans="1:11" ht="31.2" x14ac:dyDescent="0.3">
      <c r="A15" s="179" t="s">
        <v>84</v>
      </c>
      <c r="B15" s="34" t="s">
        <v>10</v>
      </c>
      <c r="C15" s="34">
        <v>20703</v>
      </c>
      <c r="D15" s="35" t="s">
        <v>74</v>
      </c>
      <c r="E15" s="33">
        <f>'MEMÓRIA DE CÁLCULO'!J36</f>
        <v>2073.4499999999998</v>
      </c>
      <c r="F15" s="34" t="s">
        <v>16</v>
      </c>
      <c r="G15" s="271"/>
      <c r="H15" s="271"/>
      <c r="I15" s="177"/>
      <c r="J15" s="285">
        <f t="shared" si="0"/>
        <v>0</v>
      </c>
      <c r="K15" s="286"/>
    </row>
    <row r="16" spans="1:11" x14ac:dyDescent="0.3">
      <c r="A16" s="179" t="s">
        <v>85</v>
      </c>
      <c r="B16" s="34" t="s">
        <v>10</v>
      </c>
      <c r="C16" s="34">
        <v>20801</v>
      </c>
      <c r="D16" s="35" t="s">
        <v>76</v>
      </c>
      <c r="E16" s="33">
        <f>'MEMÓRIA DE CÁLCULO'!J39</f>
        <v>60</v>
      </c>
      <c r="F16" s="34" t="s">
        <v>31</v>
      </c>
      <c r="G16" s="271"/>
      <c r="H16" s="271"/>
      <c r="I16" s="177"/>
      <c r="J16" s="285">
        <f t="shared" si="0"/>
        <v>0</v>
      </c>
      <c r="K16" s="286"/>
    </row>
    <row r="17" spans="1:11" x14ac:dyDescent="0.3">
      <c r="A17" s="179" t="s">
        <v>1403</v>
      </c>
      <c r="B17" s="34" t="s">
        <v>10</v>
      </c>
      <c r="C17" s="34">
        <v>20807</v>
      </c>
      <c r="D17" s="35" t="s">
        <v>77</v>
      </c>
      <c r="E17" s="33">
        <f>'MEMÓRIA DE CÁLCULO'!J42</f>
        <v>10</v>
      </c>
      <c r="F17" s="34" t="s">
        <v>31</v>
      </c>
      <c r="G17" s="271"/>
      <c r="H17" s="271"/>
      <c r="I17" s="177"/>
      <c r="J17" s="285">
        <f t="shared" si="0"/>
        <v>0</v>
      </c>
      <c r="K17" s="286"/>
    </row>
    <row r="18" spans="1:11" x14ac:dyDescent="0.3">
      <c r="A18" s="179" t="s">
        <v>1497</v>
      </c>
      <c r="B18" s="34" t="s">
        <v>10</v>
      </c>
      <c r="C18" s="34">
        <v>20808</v>
      </c>
      <c r="D18" s="35" t="s">
        <v>79</v>
      </c>
      <c r="E18" s="33">
        <f>'MEMÓRIA DE CÁLCULO'!J45</f>
        <v>1</v>
      </c>
      <c r="F18" s="34" t="s">
        <v>1517</v>
      </c>
      <c r="G18" s="271"/>
      <c r="H18" s="271"/>
      <c r="I18" s="177"/>
      <c r="J18" s="285">
        <f t="shared" si="0"/>
        <v>0</v>
      </c>
      <c r="K18" s="286"/>
    </row>
    <row r="19" spans="1:11" ht="31.8" thickBot="1" x14ac:dyDescent="0.35">
      <c r="A19" s="179" t="s">
        <v>1498</v>
      </c>
      <c r="B19" s="38" t="s">
        <v>10</v>
      </c>
      <c r="C19" s="38">
        <v>21301</v>
      </c>
      <c r="D19" s="36" t="s">
        <v>80</v>
      </c>
      <c r="E19" s="37">
        <f>'MEMÓRIA DE CÁLCULO'!J48</f>
        <v>3</v>
      </c>
      <c r="F19" s="38" t="s">
        <v>16</v>
      </c>
      <c r="G19" s="23"/>
      <c r="H19" s="23"/>
      <c r="I19" s="177"/>
      <c r="J19" s="285">
        <f>(G19+H19)*E19*1.2665</f>
        <v>0</v>
      </c>
      <c r="K19" s="286"/>
    </row>
    <row r="20" spans="1:11" ht="16.2" thickBot="1" x14ac:dyDescent="0.35">
      <c r="A20" s="322" t="s">
        <v>7</v>
      </c>
      <c r="B20" s="323"/>
      <c r="C20" s="323"/>
      <c r="D20" s="323"/>
      <c r="E20" s="323"/>
      <c r="F20" s="323"/>
      <c r="G20" s="323"/>
      <c r="H20" s="323"/>
      <c r="I20" s="323"/>
      <c r="J20" s="324"/>
      <c r="K20" s="39">
        <f>SUM(J7:K19)</f>
        <v>0</v>
      </c>
    </row>
    <row r="21" spans="1:11" ht="16.2" thickBot="1" x14ac:dyDescent="0.35">
      <c r="A21" s="291" t="s">
        <v>19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3"/>
    </row>
    <row r="22" spans="1:11" x14ac:dyDescent="0.3">
      <c r="A22" s="178">
        <v>2</v>
      </c>
      <c r="B22" s="190" t="s">
        <v>10</v>
      </c>
      <c r="C22" s="191">
        <v>30000</v>
      </c>
      <c r="D22" s="303" t="s">
        <v>20</v>
      </c>
      <c r="E22" s="303"/>
      <c r="F22" s="303"/>
      <c r="G22" s="303"/>
      <c r="H22" s="303"/>
      <c r="I22" s="303"/>
      <c r="J22" s="303"/>
      <c r="K22" s="304"/>
    </row>
    <row r="23" spans="1:11" ht="31.2" x14ac:dyDescent="0.3">
      <c r="A23" s="180" t="s">
        <v>21</v>
      </c>
      <c r="B23" s="38" t="s">
        <v>10</v>
      </c>
      <c r="C23" s="38">
        <v>30105</v>
      </c>
      <c r="D23" s="36" t="s">
        <v>1534</v>
      </c>
      <c r="E23" s="37">
        <f>'MEMÓRIA DE CÁLCULO'!J54</f>
        <v>149.17280000000002</v>
      </c>
      <c r="F23" s="38" t="s">
        <v>103</v>
      </c>
      <c r="G23" s="23"/>
      <c r="H23" s="23"/>
      <c r="I23" s="177"/>
      <c r="J23" s="285">
        <f>(G23+H23)*E23*1.2665</f>
        <v>0</v>
      </c>
      <c r="K23" s="286"/>
    </row>
    <row r="24" spans="1:11" ht="16.2" thickBot="1" x14ac:dyDescent="0.35">
      <c r="A24" s="180" t="s">
        <v>1532</v>
      </c>
      <c r="B24" s="38" t="s">
        <v>10</v>
      </c>
      <c r="C24" s="38">
        <v>30106</v>
      </c>
      <c r="D24" s="36" t="s">
        <v>1541</v>
      </c>
      <c r="E24" s="37">
        <f>'MEMÓRIA DE CÁLCULO'!J57</f>
        <v>1899.3462500000001</v>
      </c>
      <c r="F24" s="38" t="s">
        <v>126</v>
      </c>
      <c r="G24" s="23"/>
      <c r="H24" s="23"/>
      <c r="I24" s="177"/>
      <c r="J24" s="285">
        <f>(G24+H24)*E24*1.2665</f>
        <v>0</v>
      </c>
      <c r="K24" s="286"/>
    </row>
    <row r="25" spans="1:11" ht="16.2" thickBot="1" x14ac:dyDescent="0.35">
      <c r="A25" s="322" t="s">
        <v>7</v>
      </c>
      <c r="B25" s="323"/>
      <c r="C25" s="323"/>
      <c r="D25" s="323"/>
      <c r="E25" s="323"/>
      <c r="F25" s="323"/>
      <c r="G25" s="323"/>
      <c r="H25" s="323"/>
      <c r="I25" s="323"/>
      <c r="J25" s="324"/>
      <c r="K25" s="39">
        <f>J23+J24</f>
        <v>0</v>
      </c>
    </row>
    <row r="26" spans="1:11" ht="16.2" thickBot="1" x14ac:dyDescent="0.35">
      <c r="A26" s="291" t="s">
        <v>22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3"/>
    </row>
    <row r="27" spans="1:11" x14ac:dyDescent="0.3">
      <c r="A27" s="178">
        <v>3</v>
      </c>
      <c r="B27" s="190" t="s">
        <v>10</v>
      </c>
      <c r="C27" s="191">
        <v>40000</v>
      </c>
      <c r="D27" s="303" t="s">
        <v>23</v>
      </c>
      <c r="E27" s="303"/>
      <c r="F27" s="303"/>
      <c r="G27" s="303"/>
      <c r="H27" s="303"/>
      <c r="I27" s="303"/>
      <c r="J27" s="303"/>
      <c r="K27" s="304"/>
    </row>
    <row r="28" spans="1:11" x14ac:dyDescent="0.3">
      <c r="A28" s="179" t="s">
        <v>110</v>
      </c>
      <c r="B28" s="34" t="s">
        <v>10</v>
      </c>
      <c r="C28" s="34">
        <v>40101</v>
      </c>
      <c r="D28" s="35" t="s">
        <v>107</v>
      </c>
      <c r="E28" s="33">
        <f>'MEMÓRIA DE CÁLCULO'!J62</f>
        <v>161.31984</v>
      </c>
      <c r="F28" s="34" t="s">
        <v>103</v>
      </c>
      <c r="G28" s="271"/>
      <c r="H28" s="271"/>
      <c r="I28" s="177"/>
      <c r="J28" s="285">
        <f>(G28+H28)*E28*1.2665</f>
        <v>0</v>
      </c>
      <c r="K28" s="286"/>
    </row>
    <row r="29" spans="1:11" x14ac:dyDescent="0.3">
      <c r="A29" s="179" t="s">
        <v>111</v>
      </c>
      <c r="B29" s="34" t="s">
        <v>10</v>
      </c>
      <c r="C29" s="34">
        <v>41004</v>
      </c>
      <c r="D29" s="35" t="s">
        <v>1538</v>
      </c>
      <c r="E29" s="33">
        <f>'MEMÓRIA DE CÁLCULO'!J65</f>
        <v>460.39675000000005</v>
      </c>
      <c r="F29" s="34" t="s">
        <v>103</v>
      </c>
      <c r="G29" s="271"/>
      <c r="H29" s="271"/>
      <c r="I29" s="177"/>
      <c r="J29" s="285">
        <f t="shared" ref="J29:J33" si="1">(G29+H29)*E29*1.2665</f>
        <v>0</v>
      </c>
      <c r="K29" s="286"/>
    </row>
    <row r="30" spans="1:11" x14ac:dyDescent="0.3">
      <c r="A30" s="179" t="s">
        <v>112</v>
      </c>
      <c r="B30" s="34" t="s">
        <v>10</v>
      </c>
      <c r="C30" s="34">
        <v>40104</v>
      </c>
      <c r="D30" s="35" t="s">
        <v>1453</v>
      </c>
      <c r="E30" s="33">
        <f>'MEMÓRIA DE CÁLCULO'!J68</f>
        <v>24.75</v>
      </c>
      <c r="F30" s="34" t="s">
        <v>103</v>
      </c>
      <c r="G30" s="271"/>
      <c r="H30" s="271"/>
      <c r="I30" s="177"/>
      <c r="J30" s="285">
        <f t="shared" si="1"/>
        <v>0</v>
      </c>
      <c r="K30" s="286"/>
    </row>
    <row r="31" spans="1:11" x14ac:dyDescent="0.3">
      <c r="A31" s="179" t="s">
        <v>113</v>
      </c>
      <c r="B31" s="34" t="s">
        <v>10</v>
      </c>
      <c r="C31" s="34">
        <v>40902</v>
      </c>
      <c r="D31" s="35" t="s">
        <v>108</v>
      </c>
      <c r="E31" s="33">
        <f>'MEMÓRIA DE CÁLCULO'!J73</f>
        <v>137.48977777777776</v>
      </c>
      <c r="F31" s="34" t="s">
        <v>103</v>
      </c>
      <c r="G31" s="271"/>
      <c r="H31" s="271"/>
      <c r="I31" s="177"/>
      <c r="J31" s="285">
        <f t="shared" si="1"/>
        <v>0</v>
      </c>
      <c r="K31" s="286"/>
    </row>
    <row r="32" spans="1:11" ht="31.2" x14ac:dyDescent="0.3">
      <c r="A32" s="179" t="s">
        <v>114</v>
      </c>
      <c r="B32" s="34" t="s">
        <v>10</v>
      </c>
      <c r="C32" s="34">
        <v>41140</v>
      </c>
      <c r="D32" s="35" t="s">
        <v>109</v>
      </c>
      <c r="E32" s="33">
        <f>'MEMÓRIA DE CÁLCULO'!J79</f>
        <v>3811.8849999999998</v>
      </c>
      <c r="F32" s="34" t="s">
        <v>16</v>
      </c>
      <c r="G32" s="271"/>
      <c r="H32" s="271"/>
      <c r="I32" s="177"/>
      <c r="J32" s="285">
        <f t="shared" si="1"/>
        <v>0</v>
      </c>
      <c r="K32" s="286"/>
    </row>
    <row r="33" spans="1:11" ht="16.2" thickBot="1" x14ac:dyDescent="0.35">
      <c r="A33" s="179" t="s">
        <v>544</v>
      </c>
      <c r="B33" s="38" t="s">
        <v>10</v>
      </c>
      <c r="C33" s="192">
        <v>41009</v>
      </c>
      <c r="D33" s="36" t="s">
        <v>543</v>
      </c>
      <c r="E33" s="37">
        <f>'MEMÓRIA DE CÁLCULO'!J85</f>
        <v>762.37699999999995</v>
      </c>
      <c r="F33" s="38" t="s">
        <v>103</v>
      </c>
      <c r="G33" s="23"/>
      <c r="H33" s="23"/>
      <c r="I33" s="177"/>
      <c r="J33" s="285">
        <f t="shared" si="1"/>
        <v>0</v>
      </c>
      <c r="K33" s="286"/>
    </row>
    <row r="34" spans="1:11" ht="16.2" thickBot="1" x14ac:dyDescent="0.35">
      <c r="A34" s="322" t="s">
        <v>7</v>
      </c>
      <c r="B34" s="323"/>
      <c r="C34" s="323"/>
      <c r="D34" s="323"/>
      <c r="E34" s="323"/>
      <c r="F34" s="323"/>
      <c r="G34" s="323"/>
      <c r="H34" s="323"/>
      <c r="I34" s="323"/>
      <c r="J34" s="324"/>
      <c r="K34" s="39">
        <f>SUM(J28:K33)</f>
        <v>0</v>
      </c>
    </row>
    <row r="35" spans="1:11" ht="16.2" thickBot="1" x14ac:dyDescent="0.35">
      <c r="A35" s="300" t="s">
        <v>24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2"/>
    </row>
    <row r="36" spans="1:11" x14ac:dyDescent="0.3">
      <c r="A36" s="182">
        <v>4</v>
      </c>
      <c r="B36" s="191" t="s">
        <v>25</v>
      </c>
      <c r="C36" s="191">
        <v>50000</v>
      </c>
      <c r="D36" s="303" t="s">
        <v>26</v>
      </c>
      <c r="E36" s="303"/>
      <c r="F36" s="303"/>
      <c r="G36" s="303"/>
      <c r="H36" s="303"/>
      <c r="I36" s="303"/>
      <c r="J36" s="303"/>
      <c r="K36" s="304"/>
    </row>
    <row r="37" spans="1:11" x14ac:dyDescent="0.3">
      <c r="A37" s="183" t="s">
        <v>132</v>
      </c>
      <c r="B37" s="34" t="s">
        <v>10</v>
      </c>
      <c r="C37" s="34">
        <v>50302</v>
      </c>
      <c r="D37" s="35" t="s">
        <v>122</v>
      </c>
      <c r="E37" s="33">
        <f>'MEMÓRIA DE CÁLCULO'!J90</f>
        <v>1055</v>
      </c>
      <c r="F37" s="34" t="s">
        <v>319</v>
      </c>
      <c r="G37" s="271"/>
      <c r="H37" s="271"/>
      <c r="I37" s="177"/>
      <c r="J37" s="285">
        <f t="shared" ref="J37:J44" si="2">(G37+H37)*E37*1.2665</f>
        <v>0</v>
      </c>
      <c r="K37" s="286"/>
    </row>
    <row r="38" spans="1:11" x14ac:dyDescent="0.3">
      <c r="A38" s="183" t="s">
        <v>133</v>
      </c>
      <c r="B38" s="34" t="s">
        <v>10</v>
      </c>
      <c r="C38" s="34">
        <v>50901</v>
      </c>
      <c r="D38" s="35" t="s">
        <v>123</v>
      </c>
      <c r="E38" s="33">
        <f>'MEMÓRIA DE CÁLCULO'!J95</f>
        <v>29.585000000000001</v>
      </c>
      <c r="F38" s="34" t="s">
        <v>103</v>
      </c>
      <c r="G38" s="271"/>
      <c r="H38" s="271"/>
      <c r="I38" s="177"/>
      <c r="J38" s="285">
        <f t="shared" si="2"/>
        <v>0</v>
      </c>
      <c r="K38" s="286"/>
    </row>
    <row r="39" spans="1:11" x14ac:dyDescent="0.3">
      <c r="A39" s="183" t="s">
        <v>134</v>
      </c>
      <c r="B39" s="34" t="s">
        <v>10</v>
      </c>
      <c r="C39" s="34">
        <v>50902</v>
      </c>
      <c r="D39" s="35" t="s">
        <v>124</v>
      </c>
      <c r="E39" s="33">
        <f>'MEMÓRIA DE CÁLCULO'!J100</f>
        <v>59.17</v>
      </c>
      <c r="F39" s="34" t="s">
        <v>13</v>
      </c>
      <c r="G39" s="271"/>
      <c r="H39" s="271"/>
      <c r="I39" s="177"/>
      <c r="J39" s="285">
        <f t="shared" si="2"/>
        <v>0</v>
      </c>
      <c r="K39" s="286"/>
    </row>
    <row r="40" spans="1:11" x14ac:dyDescent="0.3">
      <c r="A40" s="183" t="s">
        <v>135</v>
      </c>
      <c r="B40" s="34" t="s">
        <v>10</v>
      </c>
      <c r="C40" s="34">
        <v>51009</v>
      </c>
      <c r="D40" s="35" t="s">
        <v>540</v>
      </c>
      <c r="E40" s="33">
        <f>'MEMÓRIA DE CÁLCULO'!J103</f>
        <v>733.27199999999982</v>
      </c>
      <c r="F40" s="34" t="s">
        <v>16</v>
      </c>
      <c r="G40" s="271"/>
      <c r="H40" s="271"/>
      <c r="I40" s="177"/>
      <c r="J40" s="285">
        <f t="shared" si="2"/>
        <v>0</v>
      </c>
      <c r="K40" s="286"/>
    </row>
    <row r="41" spans="1:11" ht="31.2" x14ac:dyDescent="0.3">
      <c r="A41" s="183" t="s">
        <v>136</v>
      </c>
      <c r="B41" s="34" t="s">
        <v>10</v>
      </c>
      <c r="C41" s="34">
        <v>51017</v>
      </c>
      <c r="D41" s="35" t="s">
        <v>125</v>
      </c>
      <c r="E41" s="33">
        <f>'MEMÓRIA DE CÁLCULO'!J109</f>
        <v>80.91404</v>
      </c>
      <c r="F41" s="34" t="s">
        <v>126</v>
      </c>
      <c r="G41" s="271"/>
      <c r="H41" s="271"/>
      <c r="I41" s="177"/>
      <c r="J41" s="285">
        <f t="shared" si="2"/>
        <v>0</v>
      </c>
      <c r="K41" s="286"/>
    </row>
    <row r="42" spans="1:11" ht="31.2" x14ac:dyDescent="0.3">
      <c r="A42" s="183" t="s">
        <v>137</v>
      </c>
      <c r="B42" s="34" t="s">
        <v>10</v>
      </c>
      <c r="C42" s="34">
        <v>51026</v>
      </c>
      <c r="D42" s="35" t="s">
        <v>127</v>
      </c>
      <c r="E42" s="33">
        <f>'MEMÓRIA DE CÁLCULO'!J115</f>
        <v>80.91404</v>
      </c>
      <c r="F42" s="34" t="s">
        <v>103</v>
      </c>
      <c r="G42" s="271"/>
      <c r="H42" s="271"/>
      <c r="I42" s="177"/>
      <c r="J42" s="285">
        <f t="shared" si="2"/>
        <v>0</v>
      </c>
      <c r="K42" s="286"/>
    </row>
    <row r="43" spans="1:11" x14ac:dyDescent="0.3">
      <c r="A43" s="183" t="s">
        <v>138</v>
      </c>
      <c r="B43" s="34" t="s">
        <v>10</v>
      </c>
      <c r="C43" s="34">
        <v>52003</v>
      </c>
      <c r="D43" s="35" t="s">
        <v>128</v>
      </c>
      <c r="E43" s="33">
        <f>'MEMÓRIA DE CÁLCULO'!J119</f>
        <v>1377.97</v>
      </c>
      <c r="F43" s="34" t="s">
        <v>129</v>
      </c>
      <c r="G43" s="271"/>
      <c r="H43" s="271"/>
      <c r="I43" s="177"/>
      <c r="J43" s="285">
        <f t="shared" si="2"/>
        <v>0</v>
      </c>
      <c r="K43" s="286"/>
    </row>
    <row r="44" spans="1:11" x14ac:dyDescent="0.3">
      <c r="A44" s="183" t="s">
        <v>529</v>
      </c>
      <c r="B44" s="34" t="s">
        <v>10</v>
      </c>
      <c r="C44" s="34">
        <v>52004</v>
      </c>
      <c r="D44" s="35" t="s">
        <v>528</v>
      </c>
      <c r="E44" s="33">
        <f>'MEMÓRIA DE CÁLCULO'!J123</f>
        <v>2671.92</v>
      </c>
      <c r="F44" s="34" t="s">
        <v>129</v>
      </c>
      <c r="G44" s="271"/>
      <c r="H44" s="271"/>
      <c r="I44" s="177"/>
      <c r="J44" s="285">
        <f t="shared" si="2"/>
        <v>0</v>
      </c>
      <c r="K44" s="286"/>
    </row>
    <row r="45" spans="1:11" ht="16.2" thickBot="1" x14ac:dyDescent="0.35">
      <c r="A45" s="180" t="s">
        <v>541</v>
      </c>
      <c r="B45" s="38" t="s">
        <v>10</v>
      </c>
      <c r="C45" s="38">
        <v>52005</v>
      </c>
      <c r="D45" s="36" t="s">
        <v>130</v>
      </c>
      <c r="E45" s="37">
        <f>'MEMÓRIA DE CÁLCULO'!J127</f>
        <v>1547.19</v>
      </c>
      <c r="F45" s="38" t="s">
        <v>131</v>
      </c>
      <c r="G45" s="23"/>
      <c r="H45" s="23"/>
      <c r="I45" s="177"/>
      <c r="J45" s="285">
        <f>(G45+H45)*E45*1.2665</f>
        <v>0</v>
      </c>
      <c r="K45" s="286"/>
    </row>
    <row r="46" spans="1:11" ht="16.2" thickBot="1" x14ac:dyDescent="0.35">
      <c r="A46" s="322" t="s">
        <v>7</v>
      </c>
      <c r="B46" s="323"/>
      <c r="C46" s="323"/>
      <c r="D46" s="323"/>
      <c r="E46" s="323"/>
      <c r="F46" s="323"/>
      <c r="G46" s="323"/>
      <c r="H46" s="323"/>
      <c r="I46" s="323"/>
      <c r="J46" s="324"/>
      <c r="K46" s="39">
        <f>SUM(J37:K45)</f>
        <v>0</v>
      </c>
    </row>
    <row r="47" spans="1:11" ht="16.2" thickBot="1" x14ac:dyDescent="0.35">
      <c r="A47" s="300" t="s">
        <v>27</v>
      </c>
      <c r="B47" s="301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x14ac:dyDescent="0.3">
      <c r="A48" s="182">
        <v>5</v>
      </c>
      <c r="B48" s="191" t="s">
        <v>25</v>
      </c>
      <c r="C48" s="191">
        <v>60000</v>
      </c>
      <c r="D48" s="303" t="s">
        <v>28</v>
      </c>
      <c r="E48" s="303"/>
      <c r="F48" s="303"/>
      <c r="G48" s="303"/>
      <c r="H48" s="303"/>
      <c r="I48" s="303"/>
      <c r="J48" s="303"/>
      <c r="K48" s="304"/>
    </row>
    <row r="49" spans="1:11" x14ac:dyDescent="0.3">
      <c r="A49" s="183" t="s">
        <v>545</v>
      </c>
      <c r="B49" s="34" t="s">
        <v>10</v>
      </c>
      <c r="C49" s="34">
        <v>60010</v>
      </c>
      <c r="D49" s="35" t="s">
        <v>531</v>
      </c>
      <c r="E49" s="33">
        <f>'MEMÓRIA DE CÁLCULO'!J142</f>
        <v>11.020799999999999</v>
      </c>
      <c r="F49" s="34" t="s">
        <v>532</v>
      </c>
      <c r="G49" s="271"/>
      <c r="H49" s="271"/>
      <c r="I49" s="177"/>
      <c r="J49" s="285">
        <f t="shared" ref="J49:J61" si="3">(G49+H49)*E49*1.2665</f>
        <v>0</v>
      </c>
      <c r="K49" s="286"/>
    </row>
    <row r="50" spans="1:11" x14ac:dyDescent="0.3">
      <c r="A50" s="183" t="s">
        <v>546</v>
      </c>
      <c r="B50" s="34" t="s">
        <v>10</v>
      </c>
      <c r="C50" s="34">
        <v>60203</v>
      </c>
      <c r="D50" s="35" t="s">
        <v>533</v>
      </c>
      <c r="E50" s="33">
        <f>'MEMÓRIA DE CÁLCULO'!J159</f>
        <v>1528.5236</v>
      </c>
      <c r="F50" s="34" t="s">
        <v>534</v>
      </c>
      <c r="G50" s="271"/>
      <c r="H50" s="271"/>
      <c r="I50" s="177"/>
      <c r="J50" s="285">
        <f t="shared" si="3"/>
        <v>0</v>
      </c>
      <c r="K50" s="286"/>
    </row>
    <row r="51" spans="1:11" x14ac:dyDescent="0.3">
      <c r="A51" s="183" t="s">
        <v>547</v>
      </c>
      <c r="B51" s="34" t="s">
        <v>10</v>
      </c>
      <c r="C51" s="34">
        <v>60303</v>
      </c>
      <c r="D51" s="35" t="s">
        <v>535</v>
      </c>
      <c r="E51" s="33">
        <f>'MEMÓRIA DE CÁLCULO'!J163</f>
        <v>1525.97</v>
      </c>
      <c r="F51" s="34" t="s">
        <v>129</v>
      </c>
      <c r="G51" s="271"/>
      <c r="H51" s="271"/>
      <c r="I51" s="177"/>
      <c r="J51" s="285">
        <f t="shared" si="3"/>
        <v>0</v>
      </c>
      <c r="K51" s="286"/>
    </row>
    <row r="52" spans="1:11" x14ac:dyDescent="0.3">
      <c r="A52" s="183" t="s">
        <v>548</v>
      </c>
      <c r="B52" s="34" t="s">
        <v>10</v>
      </c>
      <c r="C52" s="34">
        <v>60304</v>
      </c>
      <c r="D52" s="35" t="s">
        <v>606</v>
      </c>
      <c r="E52" s="33">
        <f>'MEMÓRIA DE CÁLCULO'!J166</f>
        <v>631.24</v>
      </c>
      <c r="F52" s="34" t="s">
        <v>131</v>
      </c>
      <c r="G52" s="271"/>
      <c r="H52" s="271"/>
      <c r="I52" s="177"/>
      <c r="J52" s="285">
        <f t="shared" si="3"/>
        <v>0</v>
      </c>
      <c r="K52" s="286"/>
    </row>
    <row r="53" spans="1:11" x14ac:dyDescent="0.3">
      <c r="A53" s="183" t="s">
        <v>549</v>
      </c>
      <c r="B53" s="34" t="s">
        <v>10</v>
      </c>
      <c r="C53" s="34">
        <v>60305</v>
      </c>
      <c r="D53" s="35" t="s">
        <v>536</v>
      </c>
      <c r="E53" s="33">
        <f>'MEMÓRIA DE CÁLCULO'!J170</f>
        <v>3353.62</v>
      </c>
      <c r="F53" s="34" t="s">
        <v>129</v>
      </c>
      <c r="G53" s="271"/>
      <c r="H53" s="271"/>
      <c r="I53" s="177"/>
      <c r="J53" s="285">
        <f t="shared" si="3"/>
        <v>0</v>
      </c>
      <c r="K53" s="286"/>
    </row>
    <row r="54" spans="1:11" x14ac:dyDescent="0.3">
      <c r="A54" s="183" t="s">
        <v>550</v>
      </c>
      <c r="B54" s="34" t="s">
        <v>10</v>
      </c>
      <c r="C54" s="34">
        <v>60306</v>
      </c>
      <c r="D54" s="35" t="s">
        <v>542</v>
      </c>
      <c r="E54" s="33">
        <f>'MEMÓRIA DE CÁLCULO'!J173</f>
        <v>23.11</v>
      </c>
      <c r="F54" s="34" t="s">
        <v>129</v>
      </c>
      <c r="G54" s="271"/>
      <c r="H54" s="271"/>
      <c r="I54" s="177"/>
      <c r="J54" s="285">
        <f t="shared" si="3"/>
        <v>0</v>
      </c>
      <c r="K54" s="286"/>
    </row>
    <row r="55" spans="1:11" x14ac:dyDescent="0.3">
      <c r="A55" s="183" t="s">
        <v>551</v>
      </c>
      <c r="B55" s="34" t="s">
        <v>10</v>
      </c>
      <c r="C55" s="34">
        <v>60314</v>
      </c>
      <c r="D55" s="35" t="s">
        <v>671</v>
      </c>
      <c r="E55" s="33">
        <f>'MEMÓRIA DE CÁLCULO'!J176</f>
        <v>516.63</v>
      </c>
      <c r="F55" s="34" t="s">
        <v>129</v>
      </c>
      <c r="G55" s="271"/>
      <c r="H55" s="271"/>
      <c r="I55" s="177"/>
      <c r="J55" s="285">
        <f t="shared" si="3"/>
        <v>0</v>
      </c>
      <c r="K55" s="286"/>
    </row>
    <row r="56" spans="1:11" x14ac:dyDescent="0.3">
      <c r="A56" s="183" t="s">
        <v>552</v>
      </c>
      <c r="B56" s="34" t="s">
        <v>10</v>
      </c>
      <c r="C56" s="34">
        <v>60470</v>
      </c>
      <c r="D56" s="35" t="s">
        <v>950</v>
      </c>
      <c r="E56" s="33">
        <f>'MEMÓRIA DE CÁLCULO'!J180</f>
        <v>20.405750000000005</v>
      </c>
      <c r="F56" s="34" t="s">
        <v>103</v>
      </c>
      <c r="G56" s="271"/>
      <c r="H56" s="271"/>
      <c r="I56" s="177"/>
      <c r="J56" s="285">
        <f t="shared" si="3"/>
        <v>0</v>
      </c>
      <c r="K56" s="286"/>
    </row>
    <row r="57" spans="1:11" x14ac:dyDescent="0.3">
      <c r="A57" s="183" t="s">
        <v>605</v>
      </c>
      <c r="B57" s="34" t="s">
        <v>10</v>
      </c>
      <c r="C57" s="34">
        <v>60518</v>
      </c>
      <c r="D57" s="35" t="s">
        <v>538</v>
      </c>
      <c r="E57" s="33">
        <f>'MEMÓRIA DE CÁLCULO'!J191</f>
        <v>171.56379999999999</v>
      </c>
      <c r="F57" s="34" t="s">
        <v>103</v>
      </c>
      <c r="G57" s="271"/>
      <c r="H57" s="271"/>
      <c r="I57" s="177"/>
      <c r="J57" s="285">
        <f t="shared" si="3"/>
        <v>0</v>
      </c>
      <c r="K57" s="286"/>
    </row>
    <row r="58" spans="1:11" ht="31.2" x14ac:dyDescent="0.3">
      <c r="A58" s="183" t="s">
        <v>951</v>
      </c>
      <c r="B58" s="34" t="s">
        <v>10</v>
      </c>
      <c r="C58" s="34">
        <v>60802</v>
      </c>
      <c r="D58" s="35" t="s">
        <v>537</v>
      </c>
      <c r="E58" s="33">
        <f>'MEMÓRIA DE CÁLCULO'!J202</f>
        <v>171.6378</v>
      </c>
      <c r="F58" s="34" t="s">
        <v>103</v>
      </c>
      <c r="G58" s="271"/>
      <c r="H58" s="271"/>
      <c r="I58" s="177"/>
      <c r="J58" s="285">
        <f t="shared" si="3"/>
        <v>0</v>
      </c>
      <c r="K58" s="286"/>
    </row>
    <row r="59" spans="1:11" ht="31.2" x14ac:dyDescent="0.3">
      <c r="A59" s="183" t="s">
        <v>952</v>
      </c>
      <c r="B59" s="34" t="s">
        <v>10</v>
      </c>
      <c r="C59" s="34">
        <v>61101</v>
      </c>
      <c r="D59" s="35" t="s">
        <v>539</v>
      </c>
      <c r="E59" s="33">
        <f>'MEMÓRIA DE CÁLCULO'!J269</f>
        <v>734.38999999999976</v>
      </c>
      <c r="F59" s="34" t="s">
        <v>16</v>
      </c>
      <c r="G59" s="271"/>
      <c r="H59" s="271"/>
      <c r="I59" s="177"/>
      <c r="J59" s="285">
        <f t="shared" si="3"/>
        <v>0</v>
      </c>
      <c r="K59" s="286"/>
    </row>
    <row r="60" spans="1:11" ht="31.2" x14ac:dyDescent="0.3">
      <c r="A60" s="183" t="s">
        <v>955</v>
      </c>
      <c r="B60" s="34" t="s">
        <v>10</v>
      </c>
      <c r="C60" s="34">
        <v>61102</v>
      </c>
      <c r="D60" s="35" t="s">
        <v>1457</v>
      </c>
      <c r="E60" s="33">
        <f>'MEMÓRIA DE CÁLCULO'!J272</f>
        <v>6.25</v>
      </c>
      <c r="F60" s="34" t="s">
        <v>16</v>
      </c>
      <c r="G60" s="271"/>
      <c r="H60" s="271"/>
      <c r="I60" s="177"/>
      <c r="J60" s="285">
        <f t="shared" si="3"/>
        <v>0</v>
      </c>
      <c r="K60" s="286"/>
    </row>
    <row r="61" spans="1:11" ht="31.2" x14ac:dyDescent="0.3">
      <c r="A61" s="183" t="s">
        <v>1455</v>
      </c>
      <c r="B61" s="34" t="s">
        <v>10</v>
      </c>
      <c r="C61" s="34">
        <v>61130</v>
      </c>
      <c r="D61" s="35" t="s">
        <v>1456</v>
      </c>
      <c r="E61" s="33">
        <f>'MEMÓRIA DE CÁLCULO'!J275</f>
        <v>20</v>
      </c>
      <c r="F61" s="34" t="s">
        <v>16</v>
      </c>
      <c r="G61" s="271"/>
      <c r="H61" s="271"/>
      <c r="I61" s="177"/>
      <c r="J61" s="285">
        <f t="shared" si="3"/>
        <v>0</v>
      </c>
      <c r="K61" s="286"/>
    </row>
    <row r="62" spans="1:11" ht="31.8" thickBot="1" x14ac:dyDescent="0.35">
      <c r="A62" s="180" t="s">
        <v>1458</v>
      </c>
      <c r="B62" s="38" t="s">
        <v>70</v>
      </c>
      <c r="C62" s="38">
        <v>85662</v>
      </c>
      <c r="D62" s="36" t="s">
        <v>1452</v>
      </c>
      <c r="E62" s="37">
        <f>'MEMÓRIA DE CÁLCULO'!J281</f>
        <v>910.60500000000002</v>
      </c>
      <c r="F62" s="38" t="s">
        <v>534</v>
      </c>
      <c r="G62" s="297"/>
      <c r="H62" s="298"/>
      <c r="I62" s="177"/>
      <c r="J62" s="285">
        <f>(G62+H62)*E62*1.2665</f>
        <v>0</v>
      </c>
      <c r="K62" s="286"/>
    </row>
    <row r="63" spans="1:11" ht="16.2" thickBot="1" x14ac:dyDescent="0.35">
      <c r="A63" s="322" t="s">
        <v>7</v>
      </c>
      <c r="B63" s="323"/>
      <c r="C63" s="323"/>
      <c r="D63" s="323"/>
      <c r="E63" s="323"/>
      <c r="F63" s="323"/>
      <c r="G63" s="323"/>
      <c r="H63" s="323"/>
      <c r="I63" s="323"/>
      <c r="J63" s="324"/>
      <c r="K63" s="39">
        <f>SUM(J49:K62)</f>
        <v>0</v>
      </c>
    </row>
    <row r="64" spans="1:11" ht="16.2" thickBot="1" x14ac:dyDescent="0.35">
      <c r="A64" s="300" t="s">
        <v>29</v>
      </c>
      <c r="B64" s="301"/>
      <c r="C64" s="301"/>
      <c r="D64" s="301"/>
      <c r="E64" s="301"/>
      <c r="F64" s="301"/>
      <c r="G64" s="301"/>
      <c r="H64" s="301"/>
      <c r="I64" s="301"/>
      <c r="J64" s="301"/>
      <c r="K64" s="302"/>
    </row>
    <row r="65" spans="1:11" x14ac:dyDescent="0.3">
      <c r="A65" s="182">
        <v>6</v>
      </c>
      <c r="B65" s="191" t="s">
        <v>25</v>
      </c>
      <c r="C65" s="191">
        <v>70000</v>
      </c>
      <c r="D65" s="303" t="s">
        <v>30</v>
      </c>
      <c r="E65" s="303"/>
      <c r="F65" s="303"/>
      <c r="G65" s="303"/>
      <c r="H65" s="303"/>
      <c r="I65" s="303"/>
      <c r="J65" s="303"/>
      <c r="K65" s="304"/>
    </row>
    <row r="66" spans="1:11" x14ac:dyDescent="0.3">
      <c r="A66" s="179" t="s">
        <v>205</v>
      </c>
      <c r="B66" s="34" t="s">
        <v>10</v>
      </c>
      <c r="C66" s="284">
        <v>70422</v>
      </c>
      <c r="D66" s="32" t="s">
        <v>141</v>
      </c>
      <c r="E66" s="40">
        <v>10</v>
      </c>
      <c r="F66" s="284" t="s">
        <v>1520</v>
      </c>
      <c r="G66" s="268"/>
      <c r="H66" s="268"/>
      <c r="I66" s="177"/>
      <c r="J66" s="285">
        <f t="shared" ref="J66:J129" si="4">(G66+H66)*E66*1.2665</f>
        <v>0</v>
      </c>
      <c r="K66" s="286"/>
    </row>
    <row r="67" spans="1:11" x14ac:dyDescent="0.3">
      <c r="A67" s="179" t="s">
        <v>206</v>
      </c>
      <c r="B67" s="34" t="s">
        <v>10</v>
      </c>
      <c r="C67" s="284">
        <v>1175</v>
      </c>
      <c r="D67" s="32" t="s">
        <v>142</v>
      </c>
      <c r="E67" s="40">
        <f>2</f>
        <v>2</v>
      </c>
      <c r="F67" s="284" t="s">
        <v>1517</v>
      </c>
      <c r="G67" s="268"/>
      <c r="H67" s="268"/>
      <c r="I67" s="177"/>
      <c r="J67" s="285">
        <f t="shared" si="4"/>
        <v>0</v>
      </c>
      <c r="K67" s="286"/>
    </row>
    <row r="68" spans="1:11" x14ac:dyDescent="0.3">
      <c r="A68" s="179" t="s">
        <v>209</v>
      </c>
      <c r="B68" s="34" t="s">
        <v>10</v>
      </c>
      <c r="C68" s="284">
        <v>70390</v>
      </c>
      <c r="D68" s="32" t="s">
        <v>143</v>
      </c>
      <c r="E68" s="40">
        <v>1</v>
      </c>
      <c r="F68" s="284" t="s">
        <v>1517</v>
      </c>
      <c r="G68" s="268"/>
      <c r="H68" s="268"/>
      <c r="I68" s="177"/>
      <c r="J68" s="285">
        <f t="shared" si="4"/>
        <v>0</v>
      </c>
      <c r="K68" s="286"/>
    </row>
    <row r="69" spans="1:11" x14ac:dyDescent="0.3">
      <c r="A69" s="179" t="s">
        <v>210</v>
      </c>
      <c r="B69" s="34" t="s">
        <v>10</v>
      </c>
      <c r="C69" s="284">
        <v>70513</v>
      </c>
      <c r="D69" s="32" t="s">
        <v>144</v>
      </c>
      <c r="E69" s="40">
        <f>65.9+0.7</f>
        <v>66.600000000000009</v>
      </c>
      <c r="F69" s="284" t="s">
        <v>319</v>
      </c>
      <c r="G69" s="268"/>
      <c r="H69" s="268"/>
      <c r="I69" s="177"/>
      <c r="J69" s="285">
        <f t="shared" si="4"/>
        <v>0</v>
      </c>
      <c r="K69" s="286"/>
    </row>
    <row r="70" spans="1:11" x14ac:dyDescent="0.3">
      <c r="A70" s="179" t="s">
        <v>211</v>
      </c>
      <c r="B70" s="34" t="s">
        <v>10</v>
      </c>
      <c r="C70" s="284">
        <v>70515</v>
      </c>
      <c r="D70" s="32" t="s">
        <v>145</v>
      </c>
      <c r="E70" s="40">
        <v>2.7</v>
      </c>
      <c r="F70" s="284" t="s">
        <v>319</v>
      </c>
      <c r="G70" s="268"/>
      <c r="H70" s="268"/>
      <c r="I70" s="177"/>
      <c r="J70" s="285">
        <f t="shared" si="4"/>
        <v>0</v>
      </c>
      <c r="K70" s="286"/>
    </row>
    <row r="71" spans="1:11" x14ac:dyDescent="0.3">
      <c r="A71" s="179" t="s">
        <v>207</v>
      </c>
      <c r="B71" s="34" t="s">
        <v>10</v>
      </c>
      <c r="C71" s="284">
        <v>70571</v>
      </c>
      <c r="D71" s="32" t="s">
        <v>146</v>
      </c>
      <c r="E71" s="40">
        <v>2763.8</v>
      </c>
      <c r="F71" s="284" t="s">
        <v>319</v>
      </c>
      <c r="G71" s="268"/>
      <c r="H71" s="268"/>
      <c r="I71" s="177"/>
      <c r="J71" s="285">
        <f t="shared" si="4"/>
        <v>0</v>
      </c>
      <c r="K71" s="286"/>
    </row>
    <row r="72" spans="1:11" x14ac:dyDescent="0.3">
      <c r="A72" s="179" t="s">
        <v>208</v>
      </c>
      <c r="B72" s="34" t="s">
        <v>10</v>
      </c>
      <c r="C72" s="284">
        <v>70572</v>
      </c>
      <c r="D72" s="32" t="s">
        <v>147</v>
      </c>
      <c r="E72" s="40">
        <v>265.39999999999998</v>
      </c>
      <c r="F72" s="284" t="s">
        <v>319</v>
      </c>
      <c r="G72" s="268"/>
      <c r="H72" s="268"/>
      <c r="I72" s="177"/>
      <c r="J72" s="285">
        <f t="shared" si="4"/>
        <v>0</v>
      </c>
      <c r="K72" s="286"/>
    </row>
    <row r="73" spans="1:11" x14ac:dyDescent="0.3">
      <c r="A73" s="179" t="s">
        <v>212</v>
      </c>
      <c r="B73" s="34" t="s">
        <v>10</v>
      </c>
      <c r="C73" s="284">
        <v>70573</v>
      </c>
      <c r="D73" s="32" t="s">
        <v>148</v>
      </c>
      <c r="E73" s="40">
        <v>1436.5</v>
      </c>
      <c r="F73" s="284" t="s">
        <v>319</v>
      </c>
      <c r="G73" s="268"/>
      <c r="H73" s="268"/>
      <c r="I73" s="177"/>
      <c r="J73" s="285">
        <f t="shared" si="4"/>
        <v>0</v>
      </c>
      <c r="K73" s="286"/>
    </row>
    <row r="74" spans="1:11" x14ac:dyDescent="0.3">
      <c r="A74" s="179" t="s">
        <v>213</v>
      </c>
      <c r="B74" s="34" t="s">
        <v>10</v>
      </c>
      <c r="C74" s="284">
        <v>70589</v>
      </c>
      <c r="D74" s="32" t="s">
        <v>149</v>
      </c>
      <c r="E74" s="40">
        <v>75.5</v>
      </c>
      <c r="F74" s="284" t="s">
        <v>319</v>
      </c>
      <c r="G74" s="268"/>
      <c r="H74" s="268"/>
      <c r="I74" s="177"/>
      <c r="J74" s="285">
        <f t="shared" si="4"/>
        <v>0</v>
      </c>
      <c r="K74" s="286"/>
    </row>
    <row r="75" spans="1:11" x14ac:dyDescent="0.3">
      <c r="A75" s="179" t="s">
        <v>214</v>
      </c>
      <c r="B75" s="34" t="s">
        <v>10</v>
      </c>
      <c r="C75" s="284">
        <v>70681</v>
      </c>
      <c r="D75" s="32" t="s">
        <v>150</v>
      </c>
      <c r="E75" s="40">
        <v>211</v>
      </c>
      <c r="F75" s="284" t="s">
        <v>1517</v>
      </c>
      <c r="G75" s="268"/>
      <c r="H75" s="268"/>
      <c r="I75" s="177"/>
      <c r="J75" s="285">
        <f t="shared" si="4"/>
        <v>0</v>
      </c>
      <c r="K75" s="286"/>
    </row>
    <row r="76" spans="1:11" x14ac:dyDescent="0.3">
      <c r="A76" s="179" t="s">
        <v>215</v>
      </c>
      <c r="B76" s="34" t="s">
        <v>10</v>
      </c>
      <c r="C76" s="284">
        <v>70691</v>
      </c>
      <c r="D76" s="32" t="s">
        <v>151</v>
      </c>
      <c r="E76" s="40">
        <v>307</v>
      </c>
      <c r="F76" s="284" t="s">
        <v>1517</v>
      </c>
      <c r="G76" s="268"/>
      <c r="H76" s="268"/>
      <c r="I76" s="177"/>
      <c r="J76" s="285">
        <f t="shared" si="4"/>
        <v>0</v>
      </c>
      <c r="K76" s="286"/>
    </row>
    <row r="77" spans="1:11" x14ac:dyDescent="0.3">
      <c r="A77" s="179" t="s">
        <v>216</v>
      </c>
      <c r="B77" s="34" t="s">
        <v>10</v>
      </c>
      <c r="C77" s="284">
        <v>70692</v>
      </c>
      <c r="D77" s="32" t="s">
        <v>152</v>
      </c>
      <c r="E77" s="40">
        <v>2</v>
      </c>
      <c r="F77" s="284" t="s">
        <v>1517</v>
      </c>
      <c r="G77" s="268"/>
      <c r="H77" s="268"/>
      <c r="I77" s="177"/>
      <c r="J77" s="285">
        <f t="shared" si="4"/>
        <v>0</v>
      </c>
      <c r="K77" s="286"/>
    </row>
    <row r="78" spans="1:11" x14ac:dyDescent="0.3">
      <c r="A78" s="179" t="s">
        <v>217</v>
      </c>
      <c r="B78" s="34" t="s">
        <v>10</v>
      </c>
      <c r="C78" s="284">
        <v>70700</v>
      </c>
      <c r="D78" s="32" t="s">
        <v>153</v>
      </c>
      <c r="E78" s="40">
        <v>2</v>
      </c>
      <c r="F78" s="284" t="s">
        <v>1517</v>
      </c>
      <c r="G78" s="268"/>
      <c r="H78" s="268"/>
      <c r="I78" s="177"/>
      <c r="J78" s="285">
        <f t="shared" si="4"/>
        <v>0</v>
      </c>
      <c r="K78" s="286"/>
    </row>
    <row r="79" spans="1:11" x14ac:dyDescent="0.3">
      <c r="A79" s="179" t="s">
        <v>218</v>
      </c>
      <c r="B79" s="34" t="s">
        <v>10</v>
      </c>
      <c r="C79" s="284">
        <v>70720</v>
      </c>
      <c r="D79" s="32" t="s">
        <v>154</v>
      </c>
      <c r="E79" s="40">
        <v>1</v>
      </c>
      <c r="F79" s="284" t="s">
        <v>1517</v>
      </c>
      <c r="G79" s="268"/>
      <c r="H79" s="268"/>
      <c r="I79" s="177"/>
      <c r="J79" s="285">
        <f t="shared" si="4"/>
        <v>0</v>
      </c>
      <c r="K79" s="286"/>
    </row>
    <row r="80" spans="1:11" x14ac:dyDescent="0.3">
      <c r="A80" s="179" t="s">
        <v>219</v>
      </c>
      <c r="B80" s="34" t="s">
        <v>10</v>
      </c>
      <c r="C80" s="284">
        <v>70929</v>
      </c>
      <c r="D80" s="32" t="s">
        <v>155</v>
      </c>
      <c r="E80" s="40">
        <v>1</v>
      </c>
      <c r="F80" s="284" t="s">
        <v>1517</v>
      </c>
      <c r="G80" s="268"/>
      <c r="H80" s="268"/>
      <c r="I80" s="177"/>
      <c r="J80" s="285">
        <f t="shared" si="4"/>
        <v>0</v>
      </c>
      <c r="K80" s="286"/>
    </row>
    <row r="81" spans="1:11" x14ac:dyDescent="0.3">
      <c r="A81" s="179" t="s">
        <v>220</v>
      </c>
      <c r="B81" s="34" t="s">
        <v>10</v>
      </c>
      <c r="C81" s="284">
        <v>71142</v>
      </c>
      <c r="D81" s="32" t="s">
        <v>156</v>
      </c>
      <c r="E81" s="40">
        <v>6</v>
      </c>
      <c r="F81" s="284" t="s">
        <v>1517</v>
      </c>
      <c r="G81" s="268"/>
      <c r="H81" s="268"/>
      <c r="I81" s="177"/>
      <c r="J81" s="285">
        <f t="shared" si="4"/>
        <v>0</v>
      </c>
      <c r="K81" s="286"/>
    </row>
    <row r="82" spans="1:11" x14ac:dyDescent="0.3">
      <c r="A82" s="179" t="s">
        <v>221</v>
      </c>
      <c r="B82" s="34" t="s">
        <v>10</v>
      </c>
      <c r="C82" s="284">
        <v>71171</v>
      </c>
      <c r="D82" s="32" t="s">
        <v>157</v>
      </c>
      <c r="E82" s="40">
        <f>41+22+8+2+2+2</f>
        <v>77</v>
      </c>
      <c r="F82" s="284" t="s">
        <v>1517</v>
      </c>
      <c r="G82" s="268"/>
      <c r="H82" s="268"/>
      <c r="I82" s="177"/>
      <c r="J82" s="285">
        <f t="shared" si="4"/>
        <v>0</v>
      </c>
      <c r="K82" s="286"/>
    </row>
    <row r="83" spans="1:11" x14ac:dyDescent="0.3">
      <c r="A83" s="179" t="s">
        <v>222</v>
      </c>
      <c r="B83" s="34" t="s">
        <v>10</v>
      </c>
      <c r="C83" s="284">
        <v>71173</v>
      </c>
      <c r="D83" s="32" t="s">
        <v>158</v>
      </c>
      <c r="E83" s="40">
        <v>17</v>
      </c>
      <c r="F83" s="284" t="s">
        <v>1517</v>
      </c>
      <c r="G83" s="268"/>
      <c r="H83" s="268"/>
      <c r="I83" s="177"/>
      <c r="J83" s="285">
        <f t="shared" si="4"/>
        <v>0</v>
      </c>
      <c r="K83" s="286"/>
    </row>
    <row r="84" spans="1:11" x14ac:dyDescent="0.3">
      <c r="A84" s="179" t="s">
        <v>223</v>
      </c>
      <c r="B84" s="34" t="s">
        <v>10</v>
      </c>
      <c r="C84" s="284">
        <v>71174</v>
      </c>
      <c r="D84" s="32" t="s">
        <v>159</v>
      </c>
      <c r="E84" s="40">
        <f>1</f>
        <v>1</v>
      </c>
      <c r="F84" s="284" t="s">
        <v>1517</v>
      </c>
      <c r="G84" s="268"/>
      <c r="H84" s="268"/>
      <c r="I84" s="177"/>
      <c r="J84" s="285">
        <f t="shared" si="4"/>
        <v>0</v>
      </c>
      <c r="K84" s="286"/>
    </row>
    <row r="85" spans="1:11" x14ac:dyDescent="0.3">
      <c r="A85" s="179" t="s">
        <v>224</v>
      </c>
      <c r="B85" s="34" t="s">
        <v>10</v>
      </c>
      <c r="C85" s="284">
        <v>71176</v>
      </c>
      <c r="D85" s="32" t="s">
        <v>160</v>
      </c>
      <c r="E85" s="40">
        <v>1</v>
      </c>
      <c r="F85" s="284" t="s">
        <v>1517</v>
      </c>
      <c r="G85" s="268"/>
      <c r="H85" s="268"/>
      <c r="I85" s="177"/>
      <c r="J85" s="285">
        <f t="shared" si="4"/>
        <v>0</v>
      </c>
      <c r="K85" s="286"/>
    </row>
    <row r="86" spans="1:11" x14ac:dyDescent="0.3">
      <c r="A86" s="179" t="s">
        <v>225</v>
      </c>
      <c r="B86" s="34" t="s">
        <v>10</v>
      </c>
      <c r="C86" s="284">
        <v>71180</v>
      </c>
      <c r="D86" s="32" t="s">
        <v>161</v>
      </c>
      <c r="E86" s="40">
        <v>1</v>
      </c>
      <c r="F86" s="284" t="s">
        <v>1517</v>
      </c>
      <c r="G86" s="268"/>
      <c r="H86" s="268"/>
      <c r="I86" s="177"/>
      <c r="J86" s="285">
        <f t="shared" si="4"/>
        <v>0</v>
      </c>
      <c r="K86" s="286"/>
    </row>
    <row r="87" spans="1:11" x14ac:dyDescent="0.3">
      <c r="A87" s="179" t="s">
        <v>226</v>
      </c>
      <c r="B87" s="34" t="s">
        <v>10</v>
      </c>
      <c r="C87" s="284">
        <v>71184</v>
      </c>
      <c r="D87" s="32" t="s">
        <v>162</v>
      </c>
      <c r="E87" s="40">
        <v>28</v>
      </c>
      <c r="F87" s="284" t="s">
        <v>1517</v>
      </c>
      <c r="G87" s="268"/>
      <c r="H87" s="268"/>
      <c r="I87" s="177"/>
      <c r="J87" s="285">
        <f t="shared" si="4"/>
        <v>0</v>
      </c>
      <c r="K87" s="286"/>
    </row>
    <row r="88" spans="1:11" x14ac:dyDescent="0.3">
      <c r="A88" s="179" t="s">
        <v>227</v>
      </c>
      <c r="B88" s="34" t="s">
        <v>10</v>
      </c>
      <c r="C88" s="284">
        <v>71193</v>
      </c>
      <c r="D88" s="32" t="s">
        <v>163</v>
      </c>
      <c r="E88" s="40">
        <v>3240.1</v>
      </c>
      <c r="F88" s="284" t="s">
        <v>319</v>
      </c>
      <c r="G88" s="268"/>
      <c r="H88" s="268"/>
      <c r="I88" s="177"/>
      <c r="J88" s="285">
        <f t="shared" si="4"/>
        <v>0</v>
      </c>
      <c r="K88" s="286"/>
    </row>
    <row r="89" spans="1:11" x14ac:dyDescent="0.3">
      <c r="A89" s="179" t="s">
        <v>228</v>
      </c>
      <c r="B89" s="34" t="s">
        <v>10</v>
      </c>
      <c r="C89" s="284">
        <v>71194</v>
      </c>
      <c r="D89" s="32" t="s">
        <v>164</v>
      </c>
      <c r="E89" s="40">
        <v>3.6</v>
      </c>
      <c r="F89" s="284" t="s">
        <v>319</v>
      </c>
      <c r="G89" s="268"/>
      <c r="H89" s="268"/>
      <c r="I89" s="177"/>
      <c r="J89" s="285">
        <f t="shared" si="4"/>
        <v>0</v>
      </c>
      <c r="K89" s="286"/>
    </row>
    <row r="90" spans="1:11" x14ac:dyDescent="0.3">
      <c r="A90" s="179" t="s">
        <v>229</v>
      </c>
      <c r="B90" s="34" t="s">
        <v>10</v>
      </c>
      <c r="C90" s="284">
        <v>71204</v>
      </c>
      <c r="D90" s="32" t="s">
        <v>165</v>
      </c>
      <c r="E90" s="40">
        <v>1</v>
      </c>
      <c r="F90" s="284" t="s">
        <v>319</v>
      </c>
      <c r="G90" s="268"/>
      <c r="H90" s="268"/>
      <c r="I90" s="177"/>
      <c r="J90" s="285">
        <f t="shared" si="4"/>
        <v>0</v>
      </c>
      <c r="K90" s="286"/>
    </row>
    <row r="91" spans="1:11" x14ac:dyDescent="0.3">
      <c r="A91" s="179" t="s">
        <v>230</v>
      </c>
      <c r="B91" s="34" t="s">
        <v>10</v>
      </c>
      <c r="C91" s="284">
        <v>71251</v>
      </c>
      <c r="D91" s="32" t="s">
        <v>166</v>
      </c>
      <c r="E91" s="40">
        <v>1</v>
      </c>
      <c r="F91" s="284" t="s">
        <v>319</v>
      </c>
      <c r="G91" s="268"/>
      <c r="H91" s="268"/>
      <c r="I91" s="177"/>
      <c r="J91" s="285">
        <f t="shared" si="4"/>
        <v>0</v>
      </c>
      <c r="K91" s="286"/>
    </row>
    <row r="92" spans="1:11" x14ac:dyDescent="0.3">
      <c r="A92" s="179" t="s">
        <v>231</v>
      </c>
      <c r="B92" s="34" t="s">
        <v>10</v>
      </c>
      <c r="C92" s="284">
        <v>71291</v>
      </c>
      <c r="D92" s="32" t="s">
        <v>167</v>
      </c>
      <c r="E92" s="40">
        <v>817.1</v>
      </c>
      <c r="F92" s="284" t="s">
        <v>31</v>
      </c>
      <c r="G92" s="268"/>
      <c r="H92" s="268"/>
      <c r="I92" s="177"/>
      <c r="J92" s="285">
        <f t="shared" si="4"/>
        <v>0</v>
      </c>
      <c r="K92" s="286"/>
    </row>
    <row r="93" spans="1:11" x14ac:dyDescent="0.3">
      <c r="A93" s="179" t="s">
        <v>232</v>
      </c>
      <c r="B93" s="34" t="s">
        <v>10</v>
      </c>
      <c r="C93" s="284">
        <v>71292</v>
      </c>
      <c r="D93" s="32" t="s">
        <v>168</v>
      </c>
      <c r="E93" s="40">
        <v>4560.5</v>
      </c>
      <c r="F93" s="284" t="s">
        <v>31</v>
      </c>
      <c r="G93" s="268"/>
      <c r="H93" s="268"/>
      <c r="I93" s="177"/>
      <c r="J93" s="285">
        <f t="shared" si="4"/>
        <v>0</v>
      </c>
      <c r="K93" s="286"/>
    </row>
    <row r="94" spans="1:11" x14ac:dyDescent="0.3">
      <c r="A94" s="179" t="s">
        <v>233</v>
      </c>
      <c r="B94" s="34" t="s">
        <v>10</v>
      </c>
      <c r="C94" s="284">
        <v>71293</v>
      </c>
      <c r="D94" s="32" t="s">
        <v>169</v>
      </c>
      <c r="E94" s="40">
        <v>3128.9</v>
      </c>
      <c r="F94" s="284" t="s">
        <v>31</v>
      </c>
      <c r="G94" s="268"/>
      <c r="H94" s="268"/>
      <c r="I94" s="177"/>
      <c r="J94" s="285">
        <f t="shared" si="4"/>
        <v>0</v>
      </c>
      <c r="K94" s="286"/>
    </row>
    <row r="95" spans="1:11" x14ac:dyDescent="0.3">
      <c r="A95" s="179" t="s">
        <v>234</v>
      </c>
      <c r="B95" s="34" t="s">
        <v>10</v>
      </c>
      <c r="C95" s="284">
        <v>71294</v>
      </c>
      <c r="D95" s="32" t="s">
        <v>170</v>
      </c>
      <c r="E95" s="40">
        <v>2772.6</v>
      </c>
      <c r="F95" s="284" t="s">
        <v>319</v>
      </c>
      <c r="G95" s="268"/>
      <c r="H95" s="268"/>
      <c r="I95" s="177"/>
      <c r="J95" s="285">
        <f t="shared" si="4"/>
        <v>0</v>
      </c>
      <c r="K95" s="286"/>
    </row>
    <row r="96" spans="1:11" x14ac:dyDescent="0.3">
      <c r="A96" s="179" t="s">
        <v>235</v>
      </c>
      <c r="B96" s="34" t="s">
        <v>10</v>
      </c>
      <c r="C96" s="284">
        <v>71400</v>
      </c>
      <c r="D96" s="32" t="s">
        <v>171</v>
      </c>
      <c r="E96" s="40">
        <v>34</v>
      </c>
      <c r="F96" s="284" t="s">
        <v>1517</v>
      </c>
      <c r="G96" s="268"/>
      <c r="H96" s="268"/>
      <c r="I96" s="177"/>
      <c r="J96" s="285">
        <f t="shared" si="4"/>
        <v>0</v>
      </c>
      <c r="K96" s="286"/>
    </row>
    <row r="97" spans="1:11" x14ac:dyDescent="0.3">
      <c r="A97" s="179" t="s">
        <v>236</v>
      </c>
      <c r="B97" s="34" t="s">
        <v>10</v>
      </c>
      <c r="C97" s="284">
        <v>71411</v>
      </c>
      <c r="D97" s="32" t="s">
        <v>172</v>
      </c>
      <c r="E97" s="40">
        <v>42</v>
      </c>
      <c r="F97" s="284" t="s">
        <v>1517</v>
      </c>
      <c r="G97" s="268"/>
      <c r="H97" s="268"/>
      <c r="I97" s="177"/>
      <c r="J97" s="285">
        <f t="shared" si="4"/>
        <v>0</v>
      </c>
      <c r="K97" s="286"/>
    </row>
    <row r="98" spans="1:11" x14ac:dyDescent="0.3">
      <c r="A98" s="179" t="s">
        <v>237</v>
      </c>
      <c r="B98" s="34" t="s">
        <v>10</v>
      </c>
      <c r="C98" s="284">
        <v>71430</v>
      </c>
      <c r="D98" s="32" t="s">
        <v>173</v>
      </c>
      <c r="E98" s="40">
        <v>1</v>
      </c>
      <c r="F98" s="284" t="s">
        <v>1517</v>
      </c>
      <c r="G98" s="269"/>
      <c r="H98" s="270"/>
      <c r="I98" s="177"/>
      <c r="J98" s="285">
        <f t="shared" si="4"/>
        <v>0</v>
      </c>
      <c r="K98" s="286"/>
    </row>
    <row r="99" spans="1:11" x14ac:dyDescent="0.3">
      <c r="A99" s="179" t="s">
        <v>238</v>
      </c>
      <c r="B99" s="34" t="s">
        <v>10</v>
      </c>
      <c r="C99" s="284">
        <v>71431</v>
      </c>
      <c r="D99" s="32" t="s">
        <v>174</v>
      </c>
      <c r="E99" s="40">
        <v>2</v>
      </c>
      <c r="F99" s="284" t="s">
        <v>1517</v>
      </c>
      <c r="G99" s="269"/>
      <c r="H99" s="270"/>
      <c r="I99" s="177"/>
      <c r="J99" s="285">
        <f t="shared" si="4"/>
        <v>0</v>
      </c>
      <c r="K99" s="286"/>
    </row>
    <row r="100" spans="1:11" x14ac:dyDescent="0.3">
      <c r="A100" s="179" t="s">
        <v>239</v>
      </c>
      <c r="B100" s="34" t="s">
        <v>10</v>
      </c>
      <c r="C100" s="284">
        <v>71432</v>
      </c>
      <c r="D100" s="32" t="s">
        <v>175</v>
      </c>
      <c r="E100" s="40">
        <v>8</v>
      </c>
      <c r="F100" s="284" t="s">
        <v>1517</v>
      </c>
      <c r="G100" s="268"/>
      <c r="H100" s="268"/>
      <c r="I100" s="177"/>
      <c r="J100" s="285">
        <f t="shared" si="4"/>
        <v>0</v>
      </c>
      <c r="K100" s="286"/>
    </row>
    <row r="101" spans="1:11" x14ac:dyDescent="0.3">
      <c r="A101" s="179" t="s">
        <v>240</v>
      </c>
      <c r="B101" s="34" t="s">
        <v>10</v>
      </c>
      <c r="C101" s="284">
        <v>71441</v>
      </c>
      <c r="D101" s="32" t="s">
        <v>176</v>
      </c>
      <c r="E101" s="40">
        <v>6</v>
      </c>
      <c r="F101" s="284" t="s">
        <v>1517</v>
      </c>
      <c r="G101" s="268"/>
      <c r="H101" s="268"/>
      <c r="I101" s="177"/>
      <c r="J101" s="285">
        <f t="shared" si="4"/>
        <v>0</v>
      </c>
      <c r="K101" s="286"/>
    </row>
    <row r="102" spans="1:11" ht="31.2" x14ac:dyDescent="0.3">
      <c r="A102" s="179" t="s">
        <v>241</v>
      </c>
      <c r="B102" s="34" t="s">
        <v>10</v>
      </c>
      <c r="C102" s="284">
        <v>71443</v>
      </c>
      <c r="D102" s="32" t="s">
        <v>177</v>
      </c>
      <c r="E102" s="40">
        <v>19</v>
      </c>
      <c r="F102" s="284" t="s">
        <v>1517</v>
      </c>
      <c r="G102" s="268"/>
      <c r="H102" s="268"/>
      <c r="I102" s="177"/>
      <c r="J102" s="285">
        <f t="shared" si="4"/>
        <v>0</v>
      </c>
      <c r="K102" s="286"/>
    </row>
    <row r="103" spans="1:11" x14ac:dyDescent="0.3">
      <c r="A103" s="179" t="s">
        <v>242</v>
      </c>
      <c r="B103" s="34" t="s">
        <v>10</v>
      </c>
      <c r="C103" s="284">
        <v>71520</v>
      </c>
      <c r="D103" s="32" t="s">
        <v>178</v>
      </c>
      <c r="E103" s="40">
        <v>12</v>
      </c>
      <c r="F103" s="284" t="s">
        <v>1517</v>
      </c>
      <c r="G103" s="268"/>
      <c r="H103" s="268"/>
      <c r="I103" s="177"/>
      <c r="J103" s="285">
        <f t="shared" si="4"/>
        <v>0</v>
      </c>
      <c r="K103" s="286"/>
    </row>
    <row r="104" spans="1:11" x14ac:dyDescent="0.3">
      <c r="A104" s="179" t="s">
        <v>243</v>
      </c>
      <c r="B104" s="34" t="s">
        <v>10</v>
      </c>
      <c r="C104" s="284">
        <v>71525</v>
      </c>
      <c r="D104" s="32" t="s">
        <v>179</v>
      </c>
      <c r="E104" s="40">
        <v>18</v>
      </c>
      <c r="F104" s="284" t="s">
        <v>1517</v>
      </c>
      <c r="G104" s="268"/>
      <c r="H104" s="268"/>
      <c r="I104" s="177"/>
      <c r="J104" s="285">
        <f t="shared" si="4"/>
        <v>0</v>
      </c>
      <c r="K104" s="286"/>
    </row>
    <row r="105" spans="1:11" x14ac:dyDescent="0.3">
      <c r="A105" s="179" t="s">
        <v>244</v>
      </c>
      <c r="B105" s="34" t="s">
        <v>10</v>
      </c>
      <c r="C105" s="284">
        <v>71536</v>
      </c>
      <c r="D105" s="32" t="s">
        <v>180</v>
      </c>
      <c r="E105" s="40">
        <v>302</v>
      </c>
      <c r="F105" s="284" t="s">
        <v>1517</v>
      </c>
      <c r="G105" s="268"/>
      <c r="H105" s="268"/>
      <c r="I105" s="177"/>
      <c r="J105" s="285">
        <f t="shared" si="4"/>
        <v>0</v>
      </c>
      <c r="K105" s="286"/>
    </row>
    <row r="106" spans="1:11" x14ac:dyDescent="0.3">
      <c r="A106" s="179" t="s">
        <v>245</v>
      </c>
      <c r="B106" s="34" t="s">
        <v>10</v>
      </c>
      <c r="C106" s="284">
        <v>71560</v>
      </c>
      <c r="D106" s="32" t="s">
        <v>181</v>
      </c>
      <c r="E106" s="40">
        <v>14</v>
      </c>
      <c r="F106" s="284" t="s">
        <v>1517</v>
      </c>
      <c r="G106" s="268"/>
      <c r="H106" s="268"/>
      <c r="I106" s="177"/>
      <c r="J106" s="285">
        <f t="shared" si="4"/>
        <v>0</v>
      </c>
      <c r="K106" s="286"/>
    </row>
    <row r="107" spans="1:11" x14ac:dyDescent="0.3">
      <c r="A107" s="179" t="s">
        <v>246</v>
      </c>
      <c r="B107" s="34" t="s">
        <v>10</v>
      </c>
      <c r="C107" s="284">
        <v>71577</v>
      </c>
      <c r="D107" s="32" t="s">
        <v>182</v>
      </c>
      <c r="E107" s="40">
        <v>28</v>
      </c>
      <c r="F107" s="284" t="s">
        <v>1517</v>
      </c>
      <c r="G107" s="268"/>
      <c r="H107" s="268"/>
      <c r="I107" s="177"/>
      <c r="J107" s="285">
        <f t="shared" si="4"/>
        <v>0</v>
      </c>
      <c r="K107" s="286"/>
    </row>
    <row r="108" spans="1:11" x14ac:dyDescent="0.3">
      <c r="A108" s="179" t="s">
        <v>247</v>
      </c>
      <c r="B108" s="34" t="s">
        <v>10</v>
      </c>
      <c r="C108" s="284">
        <v>71590</v>
      </c>
      <c r="D108" s="32" t="s">
        <v>183</v>
      </c>
      <c r="E108" s="40">
        <v>16</v>
      </c>
      <c r="F108" s="284" t="s">
        <v>1517</v>
      </c>
      <c r="G108" s="268"/>
      <c r="H108" s="268"/>
      <c r="I108" s="177"/>
      <c r="J108" s="285">
        <f t="shared" si="4"/>
        <v>0</v>
      </c>
      <c r="K108" s="286"/>
    </row>
    <row r="109" spans="1:11" x14ac:dyDescent="0.3">
      <c r="A109" s="179" t="s">
        <v>248</v>
      </c>
      <c r="B109" s="34" t="s">
        <v>10</v>
      </c>
      <c r="C109" s="284">
        <v>71609</v>
      </c>
      <c r="D109" s="32" t="s">
        <v>184</v>
      </c>
      <c r="E109" s="40">
        <v>16</v>
      </c>
      <c r="F109" s="284" t="s">
        <v>1517</v>
      </c>
      <c r="G109" s="268"/>
      <c r="H109" s="268"/>
      <c r="I109" s="177"/>
      <c r="J109" s="285">
        <f t="shared" si="4"/>
        <v>0</v>
      </c>
      <c r="K109" s="286"/>
    </row>
    <row r="110" spans="1:11" ht="31.2" x14ac:dyDescent="0.3">
      <c r="A110" s="179" t="s">
        <v>249</v>
      </c>
      <c r="B110" s="34" t="s">
        <v>10</v>
      </c>
      <c r="C110" s="284">
        <v>71617</v>
      </c>
      <c r="D110" s="32" t="s">
        <v>185</v>
      </c>
      <c r="E110" s="41">
        <v>144</v>
      </c>
      <c r="F110" s="284" t="s">
        <v>1517</v>
      </c>
      <c r="G110" s="268"/>
      <c r="H110" s="268"/>
      <c r="I110" s="177"/>
      <c r="J110" s="285">
        <f t="shared" si="4"/>
        <v>0</v>
      </c>
      <c r="K110" s="286"/>
    </row>
    <row r="111" spans="1:11" x14ac:dyDescent="0.3">
      <c r="A111" s="179" t="s">
        <v>250</v>
      </c>
      <c r="B111" s="34" t="s">
        <v>10</v>
      </c>
      <c r="C111" s="284">
        <v>71622</v>
      </c>
      <c r="D111" s="32" t="s">
        <v>187</v>
      </c>
      <c r="E111" s="40">
        <v>7</v>
      </c>
      <c r="F111" s="284" t="s">
        <v>1517</v>
      </c>
      <c r="G111" s="268"/>
      <c r="H111" s="268"/>
      <c r="I111" s="177"/>
      <c r="J111" s="285">
        <f t="shared" si="4"/>
        <v>0</v>
      </c>
      <c r="K111" s="286"/>
    </row>
    <row r="112" spans="1:11" ht="31.2" x14ac:dyDescent="0.3">
      <c r="A112" s="179" t="s">
        <v>251</v>
      </c>
      <c r="B112" s="34" t="s">
        <v>10</v>
      </c>
      <c r="C112" s="284">
        <v>71626</v>
      </c>
      <c r="D112" s="32" t="s">
        <v>1581</v>
      </c>
      <c r="E112" s="40">
        <v>14</v>
      </c>
      <c r="F112" s="284" t="s">
        <v>1517</v>
      </c>
      <c r="G112" s="268"/>
      <c r="H112" s="268"/>
      <c r="I112" s="177"/>
      <c r="J112" s="285">
        <f t="shared" si="4"/>
        <v>0</v>
      </c>
      <c r="K112" s="286"/>
    </row>
    <row r="113" spans="1:11" x14ac:dyDescent="0.3">
      <c r="A113" s="179" t="s">
        <v>252</v>
      </c>
      <c r="B113" s="34" t="s">
        <v>10</v>
      </c>
      <c r="C113" s="284">
        <v>71660</v>
      </c>
      <c r="D113" s="32" t="s">
        <v>188</v>
      </c>
      <c r="E113" s="40">
        <v>12</v>
      </c>
      <c r="F113" s="284" t="s">
        <v>1517</v>
      </c>
      <c r="G113" s="268"/>
      <c r="H113" s="268"/>
      <c r="I113" s="177"/>
      <c r="J113" s="285">
        <f t="shared" si="4"/>
        <v>0</v>
      </c>
      <c r="K113" s="286"/>
    </row>
    <row r="114" spans="1:11" x14ac:dyDescent="0.3">
      <c r="A114" s="179" t="s">
        <v>253</v>
      </c>
      <c r="B114" s="34" t="s">
        <v>10</v>
      </c>
      <c r="C114" s="284">
        <v>71689</v>
      </c>
      <c r="D114" s="32" t="s">
        <v>189</v>
      </c>
      <c r="E114" s="40">
        <v>14</v>
      </c>
      <c r="F114" s="284" t="s">
        <v>1517</v>
      </c>
      <c r="G114" s="268"/>
      <c r="H114" s="268"/>
      <c r="I114" s="177"/>
      <c r="J114" s="285">
        <f t="shared" si="4"/>
        <v>0</v>
      </c>
      <c r="K114" s="286"/>
    </row>
    <row r="115" spans="1:11" x14ac:dyDescent="0.3">
      <c r="A115" s="179" t="s">
        <v>254</v>
      </c>
      <c r="B115" s="34" t="s">
        <v>10</v>
      </c>
      <c r="C115" s="284">
        <v>71742</v>
      </c>
      <c r="D115" s="32" t="s">
        <v>190</v>
      </c>
      <c r="E115" s="40">
        <v>8</v>
      </c>
      <c r="F115" s="284" t="s">
        <v>1517</v>
      </c>
      <c r="G115" s="268"/>
      <c r="H115" s="268"/>
      <c r="I115" s="177"/>
      <c r="J115" s="285">
        <f t="shared" si="4"/>
        <v>0</v>
      </c>
      <c r="K115" s="286"/>
    </row>
    <row r="116" spans="1:11" x14ac:dyDescent="0.3">
      <c r="A116" s="179" t="s">
        <v>255</v>
      </c>
      <c r="B116" s="34" t="s">
        <v>10</v>
      </c>
      <c r="C116" s="284">
        <v>71773</v>
      </c>
      <c r="D116" s="32" t="s">
        <v>191</v>
      </c>
      <c r="E116" s="40">
        <v>3</v>
      </c>
      <c r="F116" s="284" t="s">
        <v>1517</v>
      </c>
      <c r="G116" s="268"/>
      <c r="H116" s="268"/>
      <c r="I116" s="177"/>
      <c r="J116" s="285">
        <f t="shared" si="4"/>
        <v>0</v>
      </c>
      <c r="K116" s="286"/>
    </row>
    <row r="117" spans="1:11" ht="46.8" x14ac:dyDescent="0.3">
      <c r="A117" s="179" t="s">
        <v>256</v>
      </c>
      <c r="B117" s="34" t="s">
        <v>10</v>
      </c>
      <c r="C117" s="284">
        <v>71991</v>
      </c>
      <c r="D117" s="32" t="s">
        <v>192</v>
      </c>
      <c r="E117" s="40">
        <v>18</v>
      </c>
      <c r="F117" s="284" t="s">
        <v>1517</v>
      </c>
      <c r="G117" s="268"/>
      <c r="H117" s="268"/>
      <c r="I117" s="177"/>
      <c r="J117" s="285">
        <f t="shared" si="4"/>
        <v>0</v>
      </c>
      <c r="K117" s="286"/>
    </row>
    <row r="118" spans="1:11" x14ac:dyDescent="0.3">
      <c r="A118" s="179" t="s">
        <v>257</v>
      </c>
      <c r="B118" s="34" t="s">
        <v>10</v>
      </c>
      <c r="C118" s="284">
        <v>72160</v>
      </c>
      <c r="D118" s="32" t="s">
        <v>193</v>
      </c>
      <c r="E118" s="40">
        <v>1</v>
      </c>
      <c r="F118" s="284" t="s">
        <v>1517</v>
      </c>
      <c r="G118" s="268"/>
      <c r="H118" s="268"/>
      <c r="I118" s="177"/>
      <c r="J118" s="285">
        <f t="shared" si="4"/>
        <v>0</v>
      </c>
      <c r="K118" s="286"/>
    </row>
    <row r="119" spans="1:11" x14ac:dyDescent="0.3">
      <c r="A119" s="179" t="s">
        <v>258</v>
      </c>
      <c r="B119" s="34" t="s">
        <v>10</v>
      </c>
      <c r="C119" s="284">
        <v>72190</v>
      </c>
      <c r="D119" s="32" t="s">
        <v>194</v>
      </c>
      <c r="E119" s="40">
        <v>5</v>
      </c>
      <c r="F119" s="284" t="s">
        <v>1517</v>
      </c>
      <c r="G119" s="268"/>
      <c r="H119" s="268"/>
      <c r="I119" s="177"/>
      <c r="J119" s="285">
        <f t="shared" si="4"/>
        <v>0</v>
      </c>
      <c r="K119" s="286"/>
    </row>
    <row r="120" spans="1:11" x14ac:dyDescent="0.3">
      <c r="A120" s="179" t="s">
        <v>259</v>
      </c>
      <c r="B120" s="34" t="s">
        <v>10</v>
      </c>
      <c r="C120" s="284">
        <v>72198</v>
      </c>
      <c r="D120" s="32" t="s">
        <v>1580</v>
      </c>
      <c r="E120" s="40">
        <v>1</v>
      </c>
      <c r="F120" s="284" t="s">
        <v>1517</v>
      </c>
      <c r="G120" s="268"/>
      <c r="H120" s="268"/>
      <c r="I120" s="177"/>
      <c r="J120" s="285">
        <f t="shared" si="4"/>
        <v>0</v>
      </c>
      <c r="K120" s="286"/>
    </row>
    <row r="121" spans="1:11" x14ac:dyDescent="0.3">
      <c r="A121" s="179" t="s">
        <v>260</v>
      </c>
      <c r="B121" s="34" t="s">
        <v>10</v>
      </c>
      <c r="C121" s="284">
        <v>72201</v>
      </c>
      <c r="D121" s="32" t="s">
        <v>195</v>
      </c>
      <c r="E121" s="40">
        <v>1</v>
      </c>
      <c r="F121" s="284" t="s">
        <v>1517</v>
      </c>
      <c r="G121" s="268"/>
      <c r="H121" s="268"/>
      <c r="I121" s="177"/>
      <c r="J121" s="285">
        <f t="shared" si="4"/>
        <v>0</v>
      </c>
      <c r="K121" s="286"/>
    </row>
    <row r="122" spans="1:11" x14ac:dyDescent="0.3">
      <c r="A122" s="179" t="s">
        <v>261</v>
      </c>
      <c r="B122" s="34" t="s">
        <v>10</v>
      </c>
      <c r="C122" s="284">
        <v>72236</v>
      </c>
      <c r="D122" s="32" t="s">
        <v>196</v>
      </c>
      <c r="E122" s="40">
        <v>34</v>
      </c>
      <c r="F122" s="284" t="s">
        <v>1517</v>
      </c>
      <c r="G122" s="268"/>
      <c r="H122" s="268"/>
      <c r="I122" s="177"/>
      <c r="J122" s="285">
        <f t="shared" si="4"/>
        <v>0</v>
      </c>
      <c r="K122" s="286"/>
    </row>
    <row r="123" spans="1:11" x14ac:dyDescent="0.3">
      <c r="A123" s="179" t="s">
        <v>262</v>
      </c>
      <c r="B123" s="34" t="s">
        <v>10</v>
      </c>
      <c r="C123" s="284">
        <v>72241</v>
      </c>
      <c r="D123" s="32" t="s">
        <v>1579</v>
      </c>
      <c r="E123" s="40">
        <v>12</v>
      </c>
      <c r="F123" s="284" t="s">
        <v>1517</v>
      </c>
      <c r="G123" s="268"/>
      <c r="H123" s="268"/>
      <c r="I123" s="177"/>
      <c r="J123" s="285">
        <f t="shared" si="4"/>
        <v>0</v>
      </c>
      <c r="K123" s="286"/>
    </row>
    <row r="124" spans="1:11" x14ac:dyDescent="0.3">
      <c r="A124" s="179" t="s">
        <v>263</v>
      </c>
      <c r="B124" s="34" t="s">
        <v>10</v>
      </c>
      <c r="C124" s="284">
        <v>72252</v>
      </c>
      <c r="D124" s="32" t="s">
        <v>197</v>
      </c>
      <c r="E124" s="40">
        <v>151</v>
      </c>
      <c r="F124" s="284" t="s">
        <v>1517</v>
      </c>
      <c r="G124" s="268"/>
      <c r="H124" s="268"/>
      <c r="I124" s="177"/>
      <c r="J124" s="285">
        <f t="shared" si="4"/>
        <v>0</v>
      </c>
      <c r="K124" s="286"/>
    </row>
    <row r="125" spans="1:11" x14ac:dyDescent="0.3">
      <c r="A125" s="179" t="s">
        <v>264</v>
      </c>
      <c r="B125" s="34" t="s">
        <v>10</v>
      </c>
      <c r="C125" s="284">
        <v>72320</v>
      </c>
      <c r="D125" s="32" t="s">
        <v>198</v>
      </c>
      <c r="E125" s="40">
        <v>4</v>
      </c>
      <c r="F125" s="284" t="s">
        <v>1517</v>
      </c>
      <c r="G125" s="268"/>
      <c r="H125" s="268"/>
      <c r="I125" s="177"/>
      <c r="J125" s="285">
        <f t="shared" si="4"/>
        <v>0</v>
      </c>
      <c r="K125" s="286"/>
    </row>
    <row r="126" spans="1:11" x14ac:dyDescent="0.3">
      <c r="A126" s="179" t="s">
        <v>265</v>
      </c>
      <c r="B126" s="34" t="s">
        <v>10</v>
      </c>
      <c r="C126" s="284">
        <v>72366</v>
      </c>
      <c r="D126" s="32" t="s">
        <v>199</v>
      </c>
      <c r="E126" s="40">
        <v>18</v>
      </c>
      <c r="F126" s="284" t="s">
        <v>1517</v>
      </c>
      <c r="G126" s="268"/>
      <c r="H126" s="268"/>
      <c r="I126" s="177"/>
      <c r="J126" s="285">
        <f t="shared" si="4"/>
        <v>0</v>
      </c>
      <c r="K126" s="286"/>
    </row>
    <row r="127" spans="1:11" x14ac:dyDescent="0.3">
      <c r="A127" s="179" t="s">
        <v>266</v>
      </c>
      <c r="B127" s="34" t="s">
        <v>10</v>
      </c>
      <c r="C127" s="284">
        <v>72465</v>
      </c>
      <c r="D127" s="32" t="s">
        <v>1578</v>
      </c>
      <c r="E127" s="40">
        <v>1</v>
      </c>
      <c r="F127" s="284" t="s">
        <v>1517</v>
      </c>
      <c r="G127" s="268"/>
      <c r="H127" s="268"/>
      <c r="I127" s="177"/>
      <c r="J127" s="285">
        <f t="shared" si="4"/>
        <v>0</v>
      </c>
      <c r="K127" s="286"/>
    </row>
    <row r="128" spans="1:11" x14ac:dyDescent="0.3">
      <c r="A128" s="179" t="s">
        <v>267</v>
      </c>
      <c r="B128" s="34" t="s">
        <v>10</v>
      </c>
      <c r="C128" s="284">
        <v>72570</v>
      </c>
      <c r="D128" s="32" t="s">
        <v>200</v>
      </c>
      <c r="E128" s="40">
        <v>71</v>
      </c>
      <c r="F128" s="284" t="s">
        <v>1517</v>
      </c>
      <c r="G128" s="268"/>
      <c r="H128" s="268"/>
      <c r="I128" s="177"/>
      <c r="J128" s="285">
        <f t="shared" si="4"/>
        <v>0</v>
      </c>
      <c r="K128" s="286"/>
    </row>
    <row r="129" spans="1:11" x14ac:dyDescent="0.3">
      <c r="A129" s="179" t="s">
        <v>268</v>
      </c>
      <c r="B129" s="34" t="s">
        <v>10</v>
      </c>
      <c r="C129" s="199">
        <v>72575</v>
      </c>
      <c r="D129" s="32" t="s">
        <v>201</v>
      </c>
      <c r="E129" s="40">
        <v>148</v>
      </c>
      <c r="F129" s="284" t="s">
        <v>1517</v>
      </c>
      <c r="G129" s="268"/>
      <c r="H129" s="268"/>
      <c r="I129" s="177"/>
      <c r="J129" s="285">
        <f t="shared" si="4"/>
        <v>0</v>
      </c>
      <c r="K129" s="286"/>
    </row>
    <row r="130" spans="1:11" ht="31.2" x14ac:dyDescent="0.3">
      <c r="A130" s="179" t="s">
        <v>269</v>
      </c>
      <c r="B130" s="34" t="s">
        <v>202</v>
      </c>
      <c r="C130" s="199">
        <v>91968</v>
      </c>
      <c r="D130" s="32" t="s">
        <v>203</v>
      </c>
      <c r="E130" s="40">
        <v>2</v>
      </c>
      <c r="F130" s="284" t="s">
        <v>1517</v>
      </c>
      <c r="G130" s="299"/>
      <c r="H130" s="299"/>
      <c r="I130" s="177"/>
      <c r="J130" s="285">
        <f t="shared" ref="J130:J141" si="5">(G130+H130)*E130*1.2665</f>
        <v>0</v>
      </c>
      <c r="K130" s="286"/>
    </row>
    <row r="131" spans="1:11" ht="31.2" x14ac:dyDescent="0.3">
      <c r="A131" s="179" t="s">
        <v>270</v>
      </c>
      <c r="B131" s="34" t="s">
        <v>202</v>
      </c>
      <c r="C131" s="199">
        <v>92026</v>
      </c>
      <c r="D131" s="32" t="s">
        <v>204</v>
      </c>
      <c r="E131" s="40">
        <v>1</v>
      </c>
      <c r="F131" s="284" t="s">
        <v>1517</v>
      </c>
      <c r="G131" s="299"/>
      <c r="H131" s="299"/>
      <c r="I131" s="177"/>
      <c r="J131" s="285">
        <f t="shared" si="5"/>
        <v>0</v>
      </c>
      <c r="K131" s="286"/>
    </row>
    <row r="132" spans="1:11" x14ac:dyDescent="0.3">
      <c r="A132" s="179" t="s">
        <v>272</v>
      </c>
      <c r="B132" s="192" t="s">
        <v>10</v>
      </c>
      <c r="C132" s="284">
        <v>71824</v>
      </c>
      <c r="D132" s="32" t="s">
        <v>271</v>
      </c>
      <c r="E132" s="40">
        <v>1</v>
      </c>
      <c r="F132" s="284" t="s">
        <v>1517</v>
      </c>
      <c r="G132" s="268"/>
      <c r="H132" s="268"/>
      <c r="I132" s="177"/>
      <c r="J132" s="285">
        <f t="shared" si="5"/>
        <v>0</v>
      </c>
      <c r="K132" s="286"/>
    </row>
    <row r="133" spans="1:11" x14ac:dyDescent="0.3">
      <c r="A133" s="179" t="s">
        <v>361</v>
      </c>
      <c r="B133" s="284" t="s">
        <v>25</v>
      </c>
      <c r="C133" s="284">
        <v>70603</v>
      </c>
      <c r="D133" s="32" t="s">
        <v>355</v>
      </c>
      <c r="E133" s="40">
        <f>6.4835+0.3123+1.0879+38.3675+36.3685+1.0529</f>
        <v>83.672599999999989</v>
      </c>
      <c r="F133" s="40" t="s">
        <v>319</v>
      </c>
      <c r="G133" s="268"/>
      <c r="H133" s="268"/>
      <c r="I133" s="177"/>
      <c r="J133" s="285">
        <f t="shared" si="5"/>
        <v>0</v>
      </c>
      <c r="K133" s="286"/>
    </row>
    <row r="134" spans="1:11" x14ac:dyDescent="0.3">
      <c r="A134" s="179" t="s">
        <v>362</v>
      </c>
      <c r="B134" s="284" t="s">
        <v>25</v>
      </c>
      <c r="C134" s="284">
        <v>70626</v>
      </c>
      <c r="D134" s="32" t="s">
        <v>356</v>
      </c>
      <c r="E134" s="40">
        <f>6.4835+0.3123+1.0879+38.3675+36.3685+1.0529</f>
        <v>83.672599999999989</v>
      </c>
      <c r="F134" s="40" t="s">
        <v>319</v>
      </c>
      <c r="G134" s="268"/>
      <c r="H134" s="268"/>
      <c r="I134" s="177"/>
      <c r="J134" s="285">
        <f t="shared" si="5"/>
        <v>0</v>
      </c>
      <c r="K134" s="286"/>
    </row>
    <row r="135" spans="1:11" x14ac:dyDescent="0.3">
      <c r="A135" s="179" t="s">
        <v>363</v>
      </c>
      <c r="B135" s="284" t="s">
        <v>25</v>
      </c>
      <c r="C135" s="284">
        <v>70648</v>
      </c>
      <c r="D135" s="32" t="s">
        <v>357</v>
      </c>
      <c r="E135" s="40">
        <v>2</v>
      </c>
      <c r="F135" s="284" t="s">
        <v>1517</v>
      </c>
      <c r="G135" s="268"/>
      <c r="H135" s="268"/>
      <c r="I135" s="177"/>
      <c r="J135" s="285">
        <f t="shared" si="5"/>
        <v>0</v>
      </c>
      <c r="K135" s="286"/>
    </row>
    <row r="136" spans="1:11" x14ac:dyDescent="0.3">
      <c r="A136" s="179" t="s">
        <v>364</v>
      </c>
      <c r="B136" s="284" t="s">
        <v>25</v>
      </c>
      <c r="C136" s="284">
        <v>70691</v>
      </c>
      <c r="D136" s="32" t="s">
        <v>151</v>
      </c>
      <c r="E136" s="40">
        <v>26</v>
      </c>
      <c r="F136" s="284" t="s">
        <v>1517</v>
      </c>
      <c r="G136" s="268"/>
      <c r="H136" s="268"/>
      <c r="I136" s="177"/>
      <c r="J136" s="285">
        <f t="shared" si="5"/>
        <v>0</v>
      </c>
      <c r="K136" s="286"/>
    </row>
    <row r="137" spans="1:11" x14ac:dyDescent="0.3">
      <c r="A137" s="179" t="s">
        <v>365</v>
      </c>
      <c r="B137" s="284" t="s">
        <v>25</v>
      </c>
      <c r="C137" s="284">
        <v>71193</v>
      </c>
      <c r="D137" s="32" t="s">
        <v>358</v>
      </c>
      <c r="E137" s="40">
        <f>6.4835+0.3123+1.0879+38.3675+36.3685+1.0529</f>
        <v>83.672599999999989</v>
      </c>
      <c r="F137" s="41" t="s">
        <v>319</v>
      </c>
      <c r="G137" s="268"/>
      <c r="H137" s="268"/>
      <c r="I137" s="177"/>
      <c r="J137" s="285">
        <f t="shared" si="5"/>
        <v>0</v>
      </c>
      <c r="K137" s="286"/>
    </row>
    <row r="138" spans="1:11" x14ac:dyDescent="0.3">
      <c r="A138" s="179" t="s">
        <v>366</v>
      </c>
      <c r="B138" s="284" t="s">
        <v>25</v>
      </c>
      <c r="C138" s="284">
        <v>72591</v>
      </c>
      <c r="D138" s="32" t="s">
        <v>359</v>
      </c>
      <c r="E138" s="40">
        <v>13</v>
      </c>
      <c r="F138" s="284" t="s">
        <v>1517</v>
      </c>
      <c r="G138" s="268"/>
      <c r="H138" s="268"/>
      <c r="I138" s="177"/>
      <c r="J138" s="285">
        <f t="shared" si="5"/>
        <v>0</v>
      </c>
      <c r="K138" s="286"/>
    </row>
    <row r="139" spans="1:11" x14ac:dyDescent="0.3">
      <c r="A139" s="179" t="s">
        <v>367</v>
      </c>
      <c r="B139" s="284" t="s">
        <v>25</v>
      </c>
      <c r="C139" s="284">
        <v>72596</v>
      </c>
      <c r="D139" s="32" t="s">
        <v>360</v>
      </c>
      <c r="E139" s="40">
        <v>13</v>
      </c>
      <c r="F139" s="284" t="s">
        <v>1517</v>
      </c>
      <c r="G139" s="268"/>
      <c r="H139" s="268"/>
      <c r="I139" s="177"/>
      <c r="J139" s="285">
        <f t="shared" si="5"/>
        <v>0</v>
      </c>
      <c r="K139" s="286"/>
    </row>
    <row r="140" spans="1:11" x14ac:dyDescent="0.3">
      <c r="A140" s="179" t="s">
        <v>370</v>
      </c>
      <c r="B140" s="284" t="s">
        <v>202</v>
      </c>
      <c r="C140" s="200">
        <v>83645</v>
      </c>
      <c r="D140" s="42" t="s">
        <v>368</v>
      </c>
      <c r="E140" s="43">
        <v>1</v>
      </c>
      <c r="F140" s="284" t="s">
        <v>1517</v>
      </c>
      <c r="G140" s="305"/>
      <c r="H140" s="306"/>
      <c r="I140" s="177"/>
      <c r="J140" s="285">
        <f t="shared" si="5"/>
        <v>0</v>
      </c>
      <c r="K140" s="286"/>
    </row>
    <row r="141" spans="1:11" x14ac:dyDescent="0.3">
      <c r="A141" s="179" t="s">
        <v>371</v>
      </c>
      <c r="B141" s="284" t="s">
        <v>202</v>
      </c>
      <c r="C141" s="200">
        <v>83647</v>
      </c>
      <c r="D141" s="42" t="s">
        <v>369</v>
      </c>
      <c r="E141" s="43">
        <v>1</v>
      </c>
      <c r="F141" s="284" t="s">
        <v>1517</v>
      </c>
      <c r="G141" s="305"/>
      <c r="H141" s="306"/>
      <c r="I141" s="177"/>
      <c r="J141" s="285">
        <f t="shared" si="5"/>
        <v>0</v>
      </c>
      <c r="K141" s="286"/>
    </row>
    <row r="142" spans="1:11" ht="16.2" thickBot="1" x14ac:dyDescent="0.35">
      <c r="A142" s="181" t="s">
        <v>1229</v>
      </c>
      <c r="B142" s="57" t="s">
        <v>202</v>
      </c>
      <c r="C142" s="201">
        <v>83644</v>
      </c>
      <c r="D142" s="42" t="s">
        <v>1228</v>
      </c>
      <c r="E142" s="45">
        <v>1</v>
      </c>
      <c r="F142" s="284" t="s">
        <v>1517</v>
      </c>
      <c r="G142" s="287"/>
      <c r="H142" s="288"/>
      <c r="I142" s="177"/>
      <c r="J142" s="285">
        <f>(G142+H142)*E142*1.2665</f>
        <v>0</v>
      </c>
      <c r="K142" s="286"/>
    </row>
    <row r="143" spans="1:11" ht="16.2" thickBot="1" x14ac:dyDescent="0.35">
      <c r="A143" s="322" t="s">
        <v>7</v>
      </c>
      <c r="B143" s="323"/>
      <c r="C143" s="323"/>
      <c r="D143" s="323"/>
      <c r="E143" s="323"/>
      <c r="F143" s="323"/>
      <c r="G143" s="323"/>
      <c r="H143" s="323"/>
      <c r="I143" s="323"/>
      <c r="J143" s="324"/>
      <c r="K143" s="39">
        <f>SUM(J66:K142)</f>
        <v>0</v>
      </c>
    </row>
    <row r="144" spans="1:11" ht="16.2" thickBot="1" x14ac:dyDescent="0.35">
      <c r="A144" s="291" t="s">
        <v>32</v>
      </c>
      <c r="B144" s="292"/>
      <c r="C144" s="292"/>
      <c r="D144" s="292"/>
      <c r="E144" s="292"/>
      <c r="F144" s="292"/>
      <c r="G144" s="292"/>
      <c r="H144" s="292"/>
      <c r="I144" s="292"/>
      <c r="J144" s="292"/>
      <c r="K144" s="293"/>
    </row>
    <row r="145" spans="1:11" x14ac:dyDescent="0.3">
      <c r="A145" s="182">
        <v>7</v>
      </c>
      <c r="B145" s="191" t="s">
        <v>25</v>
      </c>
      <c r="C145" s="191">
        <v>80000</v>
      </c>
      <c r="D145" s="303" t="s">
        <v>33</v>
      </c>
      <c r="E145" s="303"/>
      <c r="F145" s="303"/>
      <c r="G145" s="303"/>
      <c r="H145" s="303"/>
      <c r="I145" s="303"/>
      <c r="J145" s="303"/>
      <c r="K145" s="304"/>
    </row>
    <row r="146" spans="1:11" x14ac:dyDescent="0.3">
      <c r="A146" s="179" t="s">
        <v>372</v>
      </c>
      <c r="B146" s="284" t="s">
        <v>10</v>
      </c>
      <c r="C146" s="284">
        <v>80500</v>
      </c>
      <c r="D146" s="32" t="s">
        <v>322</v>
      </c>
      <c r="E146" s="40"/>
      <c r="F146" s="284"/>
      <c r="G146" s="268"/>
      <c r="H146" s="268"/>
      <c r="I146" s="174"/>
      <c r="J146" s="129"/>
      <c r="K146" s="46"/>
    </row>
    <row r="147" spans="1:11" x14ac:dyDescent="0.3">
      <c r="A147" s="179" t="s">
        <v>373</v>
      </c>
      <c r="B147" s="284" t="s">
        <v>10</v>
      </c>
      <c r="C147" s="284">
        <v>80501</v>
      </c>
      <c r="D147" s="32" t="s">
        <v>323</v>
      </c>
      <c r="E147" s="40"/>
      <c r="F147" s="284"/>
      <c r="G147" s="268"/>
      <c r="H147" s="268"/>
      <c r="I147" s="174"/>
      <c r="J147" s="129"/>
      <c r="K147" s="46"/>
    </row>
    <row r="148" spans="1:11" ht="31.2" x14ac:dyDescent="0.3">
      <c r="A148" s="179" t="s">
        <v>374</v>
      </c>
      <c r="B148" s="284" t="s">
        <v>10</v>
      </c>
      <c r="C148" s="284">
        <v>80504</v>
      </c>
      <c r="D148" s="32" t="s">
        <v>324</v>
      </c>
      <c r="E148" s="40">
        <v>32</v>
      </c>
      <c r="F148" s="284" t="s">
        <v>1517</v>
      </c>
      <c r="G148" s="268"/>
      <c r="H148" s="268"/>
      <c r="I148" s="177"/>
      <c r="J148" s="285">
        <f t="shared" ref="J148:J213" si="6">(G148+H148)*E148*1.2665</f>
        <v>0</v>
      </c>
      <c r="K148" s="286"/>
    </row>
    <row r="149" spans="1:11" ht="31.2" x14ac:dyDescent="0.3">
      <c r="A149" s="179" t="s">
        <v>376</v>
      </c>
      <c r="B149" s="284" t="s">
        <v>10</v>
      </c>
      <c r="C149" s="284">
        <v>80526</v>
      </c>
      <c r="D149" s="32" t="s">
        <v>325</v>
      </c>
      <c r="E149" s="40">
        <v>32</v>
      </c>
      <c r="F149" s="284" t="s">
        <v>1517</v>
      </c>
      <c r="G149" s="268"/>
      <c r="H149" s="268"/>
      <c r="I149" s="177"/>
      <c r="J149" s="285">
        <f t="shared" si="6"/>
        <v>0</v>
      </c>
      <c r="K149" s="286"/>
    </row>
    <row r="150" spans="1:11" x14ac:dyDescent="0.3">
      <c r="A150" s="179" t="s">
        <v>377</v>
      </c>
      <c r="B150" s="284" t="s">
        <v>10</v>
      </c>
      <c r="C150" s="284">
        <v>80532</v>
      </c>
      <c r="D150" s="32" t="s">
        <v>326</v>
      </c>
      <c r="E150" s="40">
        <v>32</v>
      </c>
      <c r="F150" s="284" t="s">
        <v>1517</v>
      </c>
      <c r="G150" s="268"/>
      <c r="H150" s="268"/>
      <c r="I150" s="177"/>
      <c r="J150" s="285">
        <f t="shared" si="6"/>
        <v>0</v>
      </c>
      <c r="K150" s="286"/>
    </row>
    <row r="151" spans="1:11" x14ac:dyDescent="0.3">
      <c r="A151" s="179" t="s">
        <v>378</v>
      </c>
      <c r="B151" s="284" t="s">
        <v>10</v>
      </c>
      <c r="C151" s="284">
        <v>80540</v>
      </c>
      <c r="D151" s="32" t="s">
        <v>327</v>
      </c>
      <c r="E151" s="40"/>
      <c r="F151" s="284"/>
      <c r="G151" s="268"/>
      <c r="H151" s="268"/>
      <c r="I151" s="177"/>
      <c r="J151" s="285"/>
      <c r="K151" s="286"/>
    </row>
    <row r="152" spans="1:11" x14ac:dyDescent="0.3">
      <c r="A152" s="179" t="s">
        <v>379</v>
      </c>
      <c r="B152" s="284" t="s">
        <v>10</v>
      </c>
      <c r="C152" s="284">
        <v>80555</v>
      </c>
      <c r="D152" s="32" t="s">
        <v>328</v>
      </c>
      <c r="E152" s="40">
        <v>31</v>
      </c>
      <c r="F152" s="284" t="s">
        <v>1517</v>
      </c>
      <c r="G152" s="268"/>
      <c r="H152" s="268"/>
      <c r="I152" s="177"/>
      <c r="J152" s="285">
        <f t="shared" si="6"/>
        <v>0</v>
      </c>
      <c r="K152" s="286"/>
    </row>
    <row r="153" spans="1:11" x14ac:dyDescent="0.3">
      <c r="A153" s="179" t="s">
        <v>380</v>
      </c>
      <c r="B153" s="284" t="s">
        <v>10</v>
      </c>
      <c r="C153" s="284">
        <v>80562</v>
      </c>
      <c r="D153" s="32" t="s">
        <v>329</v>
      </c>
      <c r="E153" s="40">
        <v>31</v>
      </c>
      <c r="F153" s="284" t="s">
        <v>1517</v>
      </c>
      <c r="G153" s="271"/>
      <c r="H153" s="271"/>
      <c r="I153" s="177"/>
      <c r="J153" s="285">
        <f t="shared" si="6"/>
        <v>0</v>
      </c>
      <c r="K153" s="286"/>
    </row>
    <row r="154" spans="1:11" x14ac:dyDescent="0.3">
      <c r="A154" s="179" t="s">
        <v>381</v>
      </c>
      <c r="B154" s="284" t="s">
        <v>10</v>
      </c>
      <c r="C154" s="284">
        <v>80570</v>
      </c>
      <c r="D154" s="32" t="s">
        <v>330</v>
      </c>
      <c r="E154" s="40">
        <v>31</v>
      </c>
      <c r="F154" s="284" t="s">
        <v>1517</v>
      </c>
      <c r="G154" s="268"/>
      <c r="H154" s="268"/>
      <c r="I154" s="177"/>
      <c r="J154" s="285">
        <f t="shared" si="6"/>
        <v>0</v>
      </c>
      <c r="K154" s="286"/>
    </row>
    <row r="155" spans="1:11" x14ac:dyDescent="0.3">
      <c r="A155" s="179" t="s">
        <v>382</v>
      </c>
      <c r="B155" s="284" t="s">
        <v>10</v>
      </c>
      <c r="C155" s="202">
        <v>80590</v>
      </c>
      <c r="D155" s="47" t="s">
        <v>331</v>
      </c>
      <c r="E155" s="40">
        <v>31</v>
      </c>
      <c r="F155" s="284" t="s">
        <v>1517</v>
      </c>
      <c r="G155" s="267"/>
      <c r="H155" s="267"/>
      <c r="I155" s="177"/>
      <c r="J155" s="285">
        <f t="shared" si="6"/>
        <v>0</v>
      </c>
      <c r="K155" s="286"/>
    </row>
    <row r="156" spans="1:11" x14ac:dyDescent="0.3">
      <c r="A156" s="179" t="s">
        <v>383</v>
      </c>
      <c r="B156" s="284" t="s">
        <v>10</v>
      </c>
      <c r="C156" s="284">
        <v>80600</v>
      </c>
      <c r="D156" s="32" t="s">
        <v>332</v>
      </c>
      <c r="E156" s="40"/>
      <c r="F156" s="284"/>
      <c r="G156" s="268"/>
      <c r="H156" s="268"/>
      <c r="I156" s="177"/>
      <c r="J156" s="285"/>
      <c r="K156" s="286"/>
    </row>
    <row r="157" spans="1:11" x14ac:dyDescent="0.3">
      <c r="A157" s="179" t="s">
        <v>384</v>
      </c>
      <c r="B157" s="284" t="s">
        <v>10</v>
      </c>
      <c r="C157" s="200">
        <v>80601</v>
      </c>
      <c r="D157" s="42" t="s">
        <v>333</v>
      </c>
      <c r="E157" s="40">
        <v>2</v>
      </c>
      <c r="F157" s="284" t="s">
        <v>1517</v>
      </c>
      <c r="G157" s="17"/>
      <c r="H157" s="18"/>
      <c r="I157" s="177"/>
      <c r="J157" s="285">
        <f t="shared" si="6"/>
        <v>0</v>
      </c>
      <c r="K157" s="286"/>
    </row>
    <row r="158" spans="1:11" x14ac:dyDescent="0.3">
      <c r="A158" s="179" t="s">
        <v>385</v>
      </c>
      <c r="B158" s="284" t="s">
        <v>10</v>
      </c>
      <c r="C158" s="200">
        <v>80610</v>
      </c>
      <c r="D158" s="42" t="s">
        <v>334</v>
      </c>
      <c r="E158" s="40">
        <v>2</v>
      </c>
      <c r="F158" s="284" t="s">
        <v>1517</v>
      </c>
      <c r="G158" s="17"/>
      <c r="H158" s="18"/>
      <c r="I158" s="177"/>
      <c r="J158" s="285">
        <f t="shared" si="6"/>
        <v>0</v>
      </c>
      <c r="K158" s="286"/>
    </row>
    <row r="159" spans="1:11" ht="31.2" x14ac:dyDescent="0.3">
      <c r="A159" s="179" t="s">
        <v>386</v>
      </c>
      <c r="B159" s="284" t="s">
        <v>10</v>
      </c>
      <c r="C159" s="200">
        <v>80621</v>
      </c>
      <c r="D159" s="42" t="s">
        <v>335</v>
      </c>
      <c r="E159" s="48">
        <v>2</v>
      </c>
      <c r="F159" s="284" t="s">
        <v>1517</v>
      </c>
      <c r="G159" s="17"/>
      <c r="H159" s="18"/>
      <c r="I159" s="177"/>
      <c r="J159" s="285">
        <f t="shared" si="6"/>
        <v>0</v>
      </c>
      <c r="K159" s="286"/>
    </row>
    <row r="160" spans="1:11" x14ac:dyDescent="0.3">
      <c r="A160" s="179" t="s">
        <v>387</v>
      </c>
      <c r="B160" s="284" t="s">
        <v>10</v>
      </c>
      <c r="C160" s="200">
        <v>80650</v>
      </c>
      <c r="D160" s="42" t="s">
        <v>336</v>
      </c>
      <c r="E160" s="48"/>
      <c r="F160" s="43"/>
      <c r="G160" s="17"/>
      <c r="H160" s="18"/>
      <c r="I160" s="177"/>
      <c r="J160" s="285"/>
      <c r="K160" s="286"/>
    </row>
    <row r="161" spans="1:11" x14ac:dyDescent="0.3">
      <c r="A161" s="179" t="s">
        <v>388</v>
      </c>
      <c r="B161" s="284" t="s">
        <v>10</v>
      </c>
      <c r="C161" s="284">
        <v>80656</v>
      </c>
      <c r="D161" s="32" t="s">
        <v>337</v>
      </c>
      <c r="E161" s="40">
        <v>4</v>
      </c>
      <c r="F161" s="284" t="s">
        <v>1517</v>
      </c>
      <c r="G161" s="268"/>
      <c r="H161" s="268"/>
      <c r="I161" s="177"/>
      <c r="J161" s="285">
        <f t="shared" si="6"/>
        <v>0</v>
      </c>
      <c r="K161" s="286"/>
    </row>
    <row r="162" spans="1:11" x14ac:dyDescent="0.3">
      <c r="A162" s="179" t="s">
        <v>389</v>
      </c>
      <c r="B162" s="284" t="s">
        <v>10</v>
      </c>
      <c r="C162" s="284">
        <v>80672</v>
      </c>
      <c r="D162" s="32" t="s">
        <v>338</v>
      </c>
      <c r="E162" s="49">
        <v>4</v>
      </c>
      <c r="F162" s="284" t="s">
        <v>1517</v>
      </c>
      <c r="G162" s="268"/>
      <c r="H162" s="268"/>
      <c r="I162" s="177"/>
      <c r="J162" s="285">
        <f t="shared" si="6"/>
        <v>0</v>
      </c>
      <c r="K162" s="286"/>
    </row>
    <row r="163" spans="1:11" x14ac:dyDescent="0.3">
      <c r="A163" s="179" t="s">
        <v>390</v>
      </c>
      <c r="B163" s="284" t="s">
        <v>10</v>
      </c>
      <c r="C163" s="284">
        <v>80680</v>
      </c>
      <c r="D163" s="32" t="s">
        <v>339</v>
      </c>
      <c r="E163" s="43">
        <v>4</v>
      </c>
      <c r="F163" s="284" t="s">
        <v>1517</v>
      </c>
      <c r="G163" s="268"/>
      <c r="H163" s="268"/>
      <c r="I163" s="177"/>
      <c r="J163" s="285">
        <f t="shared" si="6"/>
        <v>0</v>
      </c>
      <c r="K163" s="286"/>
    </row>
    <row r="164" spans="1:11" x14ac:dyDescent="0.3">
      <c r="A164" s="179" t="s">
        <v>391</v>
      </c>
      <c r="B164" s="284" t="s">
        <v>10</v>
      </c>
      <c r="C164" s="284">
        <v>80688</v>
      </c>
      <c r="D164" s="32" t="s">
        <v>340</v>
      </c>
      <c r="E164" s="40">
        <v>3</v>
      </c>
      <c r="F164" s="284" t="s">
        <v>1517</v>
      </c>
      <c r="G164" s="268"/>
      <c r="H164" s="268"/>
      <c r="I164" s="177"/>
      <c r="J164" s="285">
        <f t="shared" si="6"/>
        <v>0</v>
      </c>
      <c r="K164" s="286"/>
    </row>
    <row r="165" spans="1:11" x14ac:dyDescent="0.3">
      <c r="A165" s="179" t="s">
        <v>392</v>
      </c>
      <c r="B165" s="284" t="s">
        <v>10</v>
      </c>
      <c r="C165" s="284">
        <v>80693</v>
      </c>
      <c r="D165" s="32" t="s">
        <v>341</v>
      </c>
      <c r="E165" s="40">
        <v>1</v>
      </c>
      <c r="F165" s="284" t="s">
        <v>1517</v>
      </c>
      <c r="G165" s="268"/>
      <c r="H165" s="268"/>
      <c r="I165" s="177"/>
      <c r="J165" s="285">
        <f t="shared" si="6"/>
        <v>0</v>
      </c>
      <c r="K165" s="286"/>
    </row>
    <row r="166" spans="1:11" x14ac:dyDescent="0.3">
      <c r="A166" s="179" t="s">
        <v>393</v>
      </c>
      <c r="B166" s="284" t="s">
        <v>10</v>
      </c>
      <c r="C166" s="284">
        <v>80720</v>
      </c>
      <c r="D166" s="32" t="s">
        <v>342</v>
      </c>
      <c r="E166" s="40"/>
      <c r="F166" s="284"/>
      <c r="G166" s="268"/>
      <c r="H166" s="268"/>
      <c r="I166" s="177"/>
      <c r="J166" s="285"/>
      <c r="K166" s="286"/>
    </row>
    <row r="167" spans="1:11" x14ac:dyDescent="0.3">
      <c r="A167" s="179" t="s">
        <v>394</v>
      </c>
      <c r="B167" s="284" t="s">
        <v>10</v>
      </c>
      <c r="C167" s="202">
        <v>80721</v>
      </c>
      <c r="D167" s="47" t="s">
        <v>343</v>
      </c>
      <c r="E167" s="48">
        <v>23</v>
      </c>
      <c r="F167" s="284" t="s">
        <v>1517</v>
      </c>
      <c r="G167" s="267"/>
      <c r="H167" s="267"/>
      <c r="I167" s="177"/>
      <c r="J167" s="285">
        <f t="shared" si="6"/>
        <v>0</v>
      </c>
      <c r="K167" s="286"/>
    </row>
    <row r="168" spans="1:11" x14ac:dyDescent="0.3">
      <c r="A168" s="179" t="s">
        <v>395</v>
      </c>
      <c r="B168" s="284" t="s">
        <v>10</v>
      </c>
      <c r="C168" s="202">
        <v>80722</v>
      </c>
      <c r="D168" s="47" t="s">
        <v>1564</v>
      </c>
      <c r="E168" s="48">
        <v>23</v>
      </c>
      <c r="F168" s="284" t="s">
        <v>1517</v>
      </c>
      <c r="G168" s="267"/>
      <c r="H168" s="267"/>
      <c r="I168" s="177"/>
      <c r="J168" s="285">
        <f t="shared" ref="J168" si="7">(G168+H168)*E168*1.2665</f>
        <v>0</v>
      </c>
      <c r="K168" s="286"/>
    </row>
    <row r="169" spans="1:11" x14ac:dyDescent="0.3">
      <c r="A169" s="179" t="s">
        <v>396</v>
      </c>
      <c r="B169" s="284" t="s">
        <v>10</v>
      </c>
      <c r="C169" s="202">
        <v>80741</v>
      </c>
      <c r="D169" s="47" t="s">
        <v>1569</v>
      </c>
      <c r="E169" s="48">
        <f>E168</f>
        <v>23</v>
      </c>
      <c r="F169" s="284" t="s">
        <v>1517</v>
      </c>
      <c r="G169" s="267"/>
      <c r="H169" s="267"/>
      <c r="I169" s="177"/>
      <c r="J169" s="285">
        <f t="shared" ref="J169" si="8">(G169+H169)*E169*1.2665</f>
        <v>0</v>
      </c>
      <c r="K169" s="286"/>
    </row>
    <row r="170" spans="1:11" x14ac:dyDescent="0.3">
      <c r="A170" s="179" t="s">
        <v>397</v>
      </c>
      <c r="B170" s="284" t="s">
        <v>10</v>
      </c>
      <c r="C170" s="202">
        <v>80800</v>
      </c>
      <c r="D170" s="47" t="s">
        <v>344</v>
      </c>
      <c r="E170" s="48"/>
      <c r="F170" s="284"/>
      <c r="G170" s="267"/>
      <c r="H170" s="267"/>
      <c r="I170" s="177"/>
      <c r="J170" s="285"/>
      <c r="K170" s="286"/>
    </row>
    <row r="171" spans="1:11" x14ac:dyDescent="0.3">
      <c r="A171" s="179" t="s">
        <v>398</v>
      </c>
      <c r="B171" s="284" t="s">
        <v>10</v>
      </c>
      <c r="C171" s="202">
        <v>80802</v>
      </c>
      <c r="D171" s="47" t="s">
        <v>345</v>
      </c>
      <c r="E171" s="48">
        <v>1</v>
      </c>
      <c r="F171" s="284" t="s">
        <v>1517</v>
      </c>
      <c r="G171" s="267"/>
      <c r="H171" s="267"/>
      <c r="I171" s="177"/>
      <c r="J171" s="285">
        <f t="shared" si="6"/>
        <v>0</v>
      </c>
      <c r="K171" s="286"/>
    </row>
    <row r="172" spans="1:11" ht="21" customHeight="1" x14ac:dyDescent="0.3">
      <c r="A172" s="179" t="s">
        <v>399</v>
      </c>
      <c r="B172" s="284" t="s">
        <v>10</v>
      </c>
      <c r="C172" s="202">
        <v>80810</v>
      </c>
      <c r="D172" s="47" t="s">
        <v>346</v>
      </c>
      <c r="E172" s="48">
        <v>3</v>
      </c>
      <c r="F172" s="284" t="s">
        <v>1517</v>
      </c>
      <c r="G172" s="267"/>
      <c r="H172" s="267"/>
      <c r="I172" s="177"/>
      <c r="J172" s="285">
        <f t="shared" si="6"/>
        <v>0</v>
      </c>
      <c r="K172" s="286"/>
    </row>
    <row r="173" spans="1:11" x14ac:dyDescent="0.3">
      <c r="A173" s="179" t="s">
        <v>400</v>
      </c>
      <c r="B173" s="284" t="s">
        <v>10</v>
      </c>
      <c r="C173" s="202">
        <v>80811</v>
      </c>
      <c r="D173" s="47" t="s">
        <v>1127</v>
      </c>
      <c r="E173" s="48">
        <v>2</v>
      </c>
      <c r="F173" s="284" t="s">
        <v>1517</v>
      </c>
      <c r="G173" s="267"/>
      <c r="H173" s="267"/>
      <c r="I173" s="177"/>
      <c r="J173" s="285">
        <f t="shared" si="6"/>
        <v>0</v>
      </c>
      <c r="K173" s="286"/>
    </row>
    <row r="174" spans="1:11" x14ac:dyDescent="0.3">
      <c r="A174" s="179" t="s">
        <v>401</v>
      </c>
      <c r="B174" s="284" t="s">
        <v>10</v>
      </c>
      <c r="C174" s="284">
        <v>80820</v>
      </c>
      <c r="D174" s="32" t="s">
        <v>347</v>
      </c>
      <c r="E174" s="40">
        <v>3</v>
      </c>
      <c r="F174" s="284" t="s">
        <v>1517</v>
      </c>
      <c r="G174" s="268"/>
      <c r="H174" s="268"/>
      <c r="I174" s="177"/>
      <c r="J174" s="285">
        <f t="shared" si="6"/>
        <v>0</v>
      </c>
      <c r="K174" s="286"/>
    </row>
    <row r="175" spans="1:11" x14ac:dyDescent="0.3">
      <c r="A175" s="179" t="s">
        <v>402</v>
      </c>
      <c r="B175" s="284" t="s">
        <v>10</v>
      </c>
      <c r="C175" s="284">
        <v>80830</v>
      </c>
      <c r="D175" s="32" t="s">
        <v>348</v>
      </c>
      <c r="E175" s="40">
        <v>3</v>
      </c>
      <c r="F175" s="284" t="s">
        <v>1517</v>
      </c>
      <c r="G175" s="268"/>
      <c r="H175" s="268"/>
      <c r="I175" s="177"/>
      <c r="J175" s="285">
        <f t="shared" si="6"/>
        <v>0</v>
      </c>
      <c r="K175" s="286"/>
    </row>
    <row r="176" spans="1:11" x14ac:dyDescent="0.3">
      <c r="A176" s="179" t="s">
        <v>403</v>
      </c>
      <c r="B176" s="284" t="s">
        <v>10</v>
      </c>
      <c r="C176" s="284">
        <v>80900</v>
      </c>
      <c r="D176" s="32" t="s">
        <v>1128</v>
      </c>
      <c r="E176" s="40"/>
      <c r="F176" s="284"/>
      <c r="G176" s="268"/>
      <c r="H176" s="268"/>
      <c r="I176" s="177"/>
      <c r="J176" s="285"/>
      <c r="K176" s="286"/>
    </row>
    <row r="177" spans="1:11" x14ac:dyDescent="0.3">
      <c r="A177" s="179" t="s">
        <v>404</v>
      </c>
      <c r="B177" s="284" t="s">
        <v>10</v>
      </c>
      <c r="C177" s="202">
        <v>80902</v>
      </c>
      <c r="D177" s="47" t="s">
        <v>1147</v>
      </c>
      <c r="E177" s="48">
        <v>4</v>
      </c>
      <c r="F177" s="284" t="s">
        <v>1517</v>
      </c>
      <c r="G177" s="267"/>
      <c r="H177" s="267"/>
      <c r="I177" s="177"/>
      <c r="J177" s="285">
        <f t="shared" si="6"/>
        <v>0</v>
      </c>
      <c r="K177" s="286"/>
    </row>
    <row r="178" spans="1:11" x14ac:dyDescent="0.3">
      <c r="A178" s="179" t="s">
        <v>405</v>
      </c>
      <c r="B178" s="284" t="s">
        <v>10</v>
      </c>
      <c r="C178" s="202">
        <v>80903</v>
      </c>
      <c r="D178" s="47" t="s">
        <v>1157</v>
      </c>
      <c r="E178" s="48">
        <v>3</v>
      </c>
      <c r="F178" s="284" t="s">
        <v>1517</v>
      </c>
      <c r="G178" s="267"/>
      <c r="H178" s="267"/>
      <c r="I178" s="177"/>
      <c r="J178" s="285">
        <f t="shared" si="6"/>
        <v>0</v>
      </c>
      <c r="K178" s="286"/>
    </row>
    <row r="179" spans="1:11" x14ac:dyDescent="0.3">
      <c r="A179" s="179" t="s">
        <v>406</v>
      </c>
      <c r="B179" s="284" t="s">
        <v>10</v>
      </c>
      <c r="C179" s="202">
        <v>80904</v>
      </c>
      <c r="D179" s="47" t="s">
        <v>1158</v>
      </c>
      <c r="E179" s="48">
        <v>7</v>
      </c>
      <c r="F179" s="284" t="s">
        <v>1517</v>
      </c>
      <c r="G179" s="267"/>
      <c r="H179" s="267"/>
      <c r="I179" s="177"/>
      <c r="J179" s="285">
        <f t="shared" si="6"/>
        <v>0</v>
      </c>
      <c r="K179" s="286"/>
    </row>
    <row r="180" spans="1:11" x14ac:dyDescent="0.3">
      <c r="A180" s="179" t="s">
        <v>407</v>
      </c>
      <c r="B180" s="284" t="s">
        <v>10</v>
      </c>
      <c r="C180" s="284">
        <v>80905</v>
      </c>
      <c r="D180" s="32" t="s">
        <v>1159</v>
      </c>
      <c r="E180" s="40">
        <v>6</v>
      </c>
      <c r="F180" s="284" t="s">
        <v>1517</v>
      </c>
      <c r="G180" s="268"/>
      <c r="H180" s="268"/>
      <c r="I180" s="177"/>
      <c r="J180" s="285">
        <f t="shared" si="6"/>
        <v>0</v>
      </c>
      <c r="K180" s="286"/>
    </row>
    <row r="181" spans="1:11" x14ac:dyDescent="0.3">
      <c r="A181" s="179" t="s">
        <v>408</v>
      </c>
      <c r="B181" s="284" t="s">
        <v>10</v>
      </c>
      <c r="C181" s="284">
        <v>80906</v>
      </c>
      <c r="D181" s="32" t="s">
        <v>1207</v>
      </c>
      <c r="E181" s="40">
        <v>3</v>
      </c>
      <c r="F181" s="284" t="s">
        <v>1517</v>
      </c>
      <c r="G181" s="268"/>
      <c r="H181" s="268"/>
      <c r="I181" s="177"/>
      <c r="J181" s="285">
        <f t="shared" si="6"/>
        <v>0</v>
      </c>
      <c r="K181" s="286"/>
    </row>
    <row r="182" spans="1:11" x14ac:dyDescent="0.3">
      <c r="A182" s="179" t="s">
        <v>409</v>
      </c>
      <c r="B182" s="284" t="s">
        <v>10</v>
      </c>
      <c r="C182" s="202">
        <v>80926</v>
      </c>
      <c r="D182" s="47" t="s">
        <v>1160</v>
      </c>
      <c r="E182" s="48">
        <v>19</v>
      </c>
      <c r="F182" s="284" t="s">
        <v>1517</v>
      </c>
      <c r="G182" s="267"/>
      <c r="H182" s="267"/>
      <c r="I182" s="177"/>
      <c r="J182" s="285">
        <f t="shared" si="6"/>
        <v>0</v>
      </c>
      <c r="K182" s="286"/>
    </row>
    <row r="183" spans="1:11" x14ac:dyDescent="0.3">
      <c r="A183" s="179" t="s">
        <v>410</v>
      </c>
      <c r="B183" s="284" t="s">
        <v>10</v>
      </c>
      <c r="C183" s="202">
        <v>80927</v>
      </c>
      <c r="D183" s="47" t="s">
        <v>1161</v>
      </c>
      <c r="E183" s="48">
        <v>10</v>
      </c>
      <c r="F183" s="284" t="s">
        <v>1517</v>
      </c>
      <c r="G183" s="267"/>
      <c r="H183" s="267"/>
      <c r="I183" s="177"/>
      <c r="J183" s="285">
        <f t="shared" si="6"/>
        <v>0</v>
      </c>
      <c r="K183" s="286"/>
    </row>
    <row r="184" spans="1:11" x14ac:dyDescent="0.3">
      <c r="A184" s="179" t="s">
        <v>411</v>
      </c>
      <c r="B184" s="284" t="s">
        <v>10</v>
      </c>
      <c r="C184" s="284">
        <v>80928</v>
      </c>
      <c r="D184" s="32" t="s">
        <v>1162</v>
      </c>
      <c r="E184" s="40">
        <v>1</v>
      </c>
      <c r="F184" s="284" t="s">
        <v>1517</v>
      </c>
      <c r="G184" s="268"/>
      <c r="H184" s="268"/>
      <c r="I184" s="177"/>
      <c r="J184" s="285">
        <f t="shared" si="6"/>
        <v>0</v>
      </c>
      <c r="K184" s="286"/>
    </row>
    <row r="185" spans="1:11" x14ac:dyDescent="0.3">
      <c r="A185" s="179" t="s">
        <v>412</v>
      </c>
      <c r="B185" s="284" t="s">
        <v>10</v>
      </c>
      <c r="C185" s="202">
        <v>80946</v>
      </c>
      <c r="D185" s="47" t="s">
        <v>1163</v>
      </c>
      <c r="E185" s="48">
        <v>23</v>
      </c>
      <c r="F185" s="284" t="s">
        <v>1517</v>
      </c>
      <c r="G185" s="267"/>
      <c r="H185" s="267"/>
      <c r="I185" s="177"/>
      <c r="J185" s="285">
        <f t="shared" si="6"/>
        <v>0</v>
      </c>
      <c r="K185" s="286"/>
    </row>
    <row r="186" spans="1:11" x14ac:dyDescent="0.3">
      <c r="A186" s="179" t="s">
        <v>413</v>
      </c>
      <c r="B186" s="284" t="s">
        <v>10</v>
      </c>
      <c r="C186" s="202">
        <v>80976</v>
      </c>
      <c r="D186" s="47" t="s">
        <v>1149</v>
      </c>
      <c r="E186" s="48">
        <v>2</v>
      </c>
      <c r="F186" s="284" t="s">
        <v>1517</v>
      </c>
      <c r="G186" s="267"/>
      <c r="H186" s="267"/>
      <c r="I186" s="177"/>
      <c r="J186" s="285">
        <f t="shared" si="6"/>
        <v>0</v>
      </c>
      <c r="K186" s="286"/>
    </row>
    <row r="187" spans="1:11" x14ac:dyDescent="0.3">
      <c r="A187" s="179" t="s">
        <v>414</v>
      </c>
      <c r="B187" s="284" t="s">
        <v>10</v>
      </c>
      <c r="C187" s="284">
        <v>80975</v>
      </c>
      <c r="D187" s="32" t="s">
        <v>1148</v>
      </c>
      <c r="E187" s="40">
        <v>1</v>
      </c>
      <c r="F187" s="284" t="s">
        <v>1517</v>
      </c>
      <c r="G187" s="268"/>
      <c r="H187" s="268"/>
      <c r="I187" s="177"/>
      <c r="J187" s="285">
        <f t="shared" si="6"/>
        <v>0</v>
      </c>
      <c r="K187" s="286"/>
    </row>
    <row r="188" spans="1:11" x14ac:dyDescent="0.3">
      <c r="A188" s="179" t="s">
        <v>415</v>
      </c>
      <c r="B188" s="284" t="s">
        <v>10</v>
      </c>
      <c r="C188" s="202">
        <v>81000</v>
      </c>
      <c r="D188" s="47" t="s">
        <v>1164</v>
      </c>
      <c r="E188" s="48"/>
      <c r="F188" s="44"/>
      <c r="G188" s="267"/>
      <c r="H188" s="267"/>
      <c r="I188" s="177"/>
      <c r="J188" s="285"/>
      <c r="K188" s="286"/>
    </row>
    <row r="189" spans="1:11" x14ac:dyDescent="0.3">
      <c r="A189" s="179" t="s">
        <v>416</v>
      </c>
      <c r="B189" s="284" t="s">
        <v>10</v>
      </c>
      <c r="C189" s="202">
        <v>81001</v>
      </c>
      <c r="D189" s="47" t="s">
        <v>1165</v>
      </c>
      <c r="E189" s="48"/>
      <c r="F189" s="44"/>
      <c r="G189" s="267"/>
      <c r="H189" s="267"/>
      <c r="I189" s="177"/>
      <c r="J189" s="285"/>
      <c r="K189" s="286"/>
    </row>
    <row r="190" spans="1:11" x14ac:dyDescent="0.3">
      <c r="A190" s="179" t="s">
        <v>417</v>
      </c>
      <c r="B190" s="284" t="s">
        <v>10</v>
      </c>
      <c r="C190" s="284">
        <v>81002</v>
      </c>
      <c r="D190" s="32" t="s">
        <v>1166</v>
      </c>
      <c r="E190" s="40">
        <f>0.23+0.69</f>
        <v>0.91999999999999993</v>
      </c>
      <c r="F190" s="284" t="s">
        <v>31</v>
      </c>
      <c r="G190" s="268"/>
      <c r="H190" s="268"/>
      <c r="I190" s="177"/>
      <c r="J190" s="285">
        <f t="shared" si="6"/>
        <v>0</v>
      </c>
      <c r="K190" s="286"/>
    </row>
    <row r="191" spans="1:11" x14ac:dyDescent="0.3">
      <c r="A191" s="179" t="s">
        <v>418</v>
      </c>
      <c r="B191" s="284" t="s">
        <v>10</v>
      </c>
      <c r="C191" s="202">
        <v>81003</v>
      </c>
      <c r="D191" s="47" t="s">
        <v>1167</v>
      </c>
      <c r="E191" s="48">
        <f>342.19+136.97</f>
        <v>479.15999999999997</v>
      </c>
      <c r="F191" s="44" t="s">
        <v>319</v>
      </c>
      <c r="G191" s="267"/>
      <c r="H191" s="267"/>
      <c r="I191" s="177"/>
      <c r="J191" s="285">
        <f t="shared" si="6"/>
        <v>0</v>
      </c>
      <c r="K191" s="286"/>
    </row>
    <row r="192" spans="1:11" x14ac:dyDescent="0.3">
      <c r="A192" s="179" t="s">
        <v>419</v>
      </c>
      <c r="B192" s="284" t="s">
        <v>10</v>
      </c>
      <c r="C192" s="202">
        <v>81004</v>
      </c>
      <c r="D192" s="47" t="s">
        <v>1168</v>
      </c>
      <c r="E192" s="48">
        <f>61.69+74.55</f>
        <v>136.24</v>
      </c>
      <c r="F192" s="44" t="s">
        <v>319</v>
      </c>
      <c r="G192" s="267"/>
      <c r="H192" s="267"/>
      <c r="I192" s="177"/>
      <c r="J192" s="285">
        <f t="shared" si="6"/>
        <v>0</v>
      </c>
      <c r="K192" s="286"/>
    </row>
    <row r="193" spans="1:11" x14ac:dyDescent="0.3">
      <c r="A193" s="179" t="s">
        <v>420</v>
      </c>
      <c r="B193" s="284" t="s">
        <v>10</v>
      </c>
      <c r="C193" s="284">
        <v>81005</v>
      </c>
      <c r="D193" s="32" t="s">
        <v>1169</v>
      </c>
      <c r="E193" s="40">
        <f>61.28+76.92</f>
        <v>138.19999999999999</v>
      </c>
      <c r="F193" s="284" t="s">
        <v>319</v>
      </c>
      <c r="G193" s="268"/>
      <c r="H193" s="268"/>
      <c r="I193" s="177"/>
      <c r="J193" s="285">
        <f t="shared" si="6"/>
        <v>0</v>
      </c>
      <c r="K193" s="286"/>
    </row>
    <row r="194" spans="1:11" x14ac:dyDescent="0.3">
      <c r="A194" s="179" t="s">
        <v>421</v>
      </c>
      <c r="B194" s="284" t="s">
        <v>10</v>
      </c>
      <c r="C194" s="202">
        <v>81006</v>
      </c>
      <c r="D194" s="47" t="s">
        <v>1170</v>
      </c>
      <c r="E194" s="48">
        <v>88.23</v>
      </c>
      <c r="F194" s="44" t="s">
        <v>31</v>
      </c>
      <c r="G194" s="267"/>
      <c r="H194" s="267"/>
      <c r="I194" s="177"/>
      <c r="J194" s="285">
        <f t="shared" si="6"/>
        <v>0</v>
      </c>
      <c r="K194" s="286"/>
    </row>
    <row r="195" spans="1:11" x14ac:dyDescent="0.3">
      <c r="A195" s="179" t="s">
        <v>422</v>
      </c>
      <c r="B195" s="284" t="s">
        <v>10</v>
      </c>
      <c r="C195" s="202">
        <v>81007</v>
      </c>
      <c r="D195" s="47" t="s">
        <v>1208</v>
      </c>
      <c r="E195" s="48">
        <v>44.68</v>
      </c>
      <c r="F195" s="44" t="s">
        <v>319</v>
      </c>
      <c r="G195" s="267"/>
      <c r="H195" s="267"/>
      <c r="I195" s="177"/>
      <c r="J195" s="285">
        <f t="shared" si="6"/>
        <v>0</v>
      </c>
      <c r="K195" s="286"/>
    </row>
    <row r="196" spans="1:11" x14ac:dyDescent="0.3">
      <c r="A196" s="179" t="s">
        <v>423</v>
      </c>
      <c r="B196" s="284" t="s">
        <v>10</v>
      </c>
      <c r="C196" s="202">
        <v>81040</v>
      </c>
      <c r="D196" s="47" t="s">
        <v>1171</v>
      </c>
      <c r="E196" s="48"/>
      <c r="F196" s="44"/>
      <c r="G196" s="267"/>
      <c r="H196" s="267"/>
      <c r="I196" s="177"/>
      <c r="J196" s="285"/>
      <c r="K196" s="286"/>
    </row>
    <row r="197" spans="1:11" x14ac:dyDescent="0.3">
      <c r="A197" s="179" t="s">
        <v>424</v>
      </c>
      <c r="B197" s="284" t="s">
        <v>10</v>
      </c>
      <c r="C197" s="284">
        <v>81057</v>
      </c>
      <c r="D197" s="32" t="s">
        <v>1173</v>
      </c>
      <c r="E197" s="40">
        <v>1</v>
      </c>
      <c r="F197" s="284" t="s">
        <v>1517</v>
      </c>
      <c r="G197" s="268"/>
      <c r="H197" s="268"/>
      <c r="I197" s="177"/>
      <c r="J197" s="285">
        <f t="shared" si="6"/>
        <v>0</v>
      </c>
      <c r="K197" s="286"/>
    </row>
    <row r="198" spans="1:11" x14ac:dyDescent="0.3">
      <c r="A198" s="179" t="s">
        <v>425</v>
      </c>
      <c r="B198" s="284" t="s">
        <v>10</v>
      </c>
      <c r="C198" s="202">
        <v>81058</v>
      </c>
      <c r="D198" s="47" t="s">
        <v>1174</v>
      </c>
      <c r="E198" s="48">
        <v>7</v>
      </c>
      <c r="F198" s="284" t="s">
        <v>1517</v>
      </c>
      <c r="G198" s="267"/>
      <c r="H198" s="267"/>
      <c r="I198" s="177"/>
      <c r="J198" s="285">
        <f t="shared" si="6"/>
        <v>0</v>
      </c>
      <c r="K198" s="286"/>
    </row>
    <row r="199" spans="1:11" x14ac:dyDescent="0.3">
      <c r="A199" s="179" t="s">
        <v>426</v>
      </c>
      <c r="B199" s="284" t="s">
        <v>10</v>
      </c>
      <c r="C199" s="284">
        <v>81066</v>
      </c>
      <c r="D199" s="32" t="s">
        <v>1172</v>
      </c>
      <c r="E199" s="40">
        <f>57+15</f>
        <v>72</v>
      </c>
      <c r="F199" s="284" t="s">
        <v>1517</v>
      </c>
      <c r="G199" s="268"/>
      <c r="H199" s="268"/>
      <c r="I199" s="177"/>
      <c r="J199" s="285">
        <f t="shared" si="6"/>
        <v>0</v>
      </c>
      <c r="K199" s="286"/>
    </row>
    <row r="200" spans="1:11" x14ac:dyDescent="0.3">
      <c r="A200" s="179" t="s">
        <v>427</v>
      </c>
      <c r="B200" s="284" t="s">
        <v>10</v>
      </c>
      <c r="C200" s="202">
        <v>81067</v>
      </c>
      <c r="D200" s="47" t="s">
        <v>1175</v>
      </c>
      <c r="E200" s="48">
        <v>26</v>
      </c>
      <c r="F200" s="284" t="s">
        <v>1517</v>
      </c>
      <c r="G200" s="267"/>
      <c r="H200" s="267"/>
      <c r="I200" s="177"/>
      <c r="J200" s="285">
        <f t="shared" si="6"/>
        <v>0</v>
      </c>
      <c r="K200" s="286"/>
    </row>
    <row r="201" spans="1:11" x14ac:dyDescent="0.3">
      <c r="A201" s="179" t="s">
        <v>428</v>
      </c>
      <c r="B201" s="284" t="s">
        <v>10</v>
      </c>
      <c r="C201" s="202">
        <v>81068</v>
      </c>
      <c r="D201" s="47" t="s">
        <v>1176</v>
      </c>
      <c r="E201" s="48">
        <v>18</v>
      </c>
      <c r="F201" s="284" t="s">
        <v>1517</v>
      </c>
      <c r="G201" s="267"/>
      <c r="H201" s="267"/>
      <c r="I201" s="177"/>
      <c r="J201" s="285">
        <f t="shared" si="6"/>
        <v>0</v>
      </c>
      <c r="K201" s="286"/>
    </row>
    <row r="202" spans="1:11" x14ac:dyDescent="0.3">
      <c r="A202" s="179" t="s">
        <v>429</v>
      </c>
      <c r="B202" s="284" t="s">
        <v>10</v>
      </c>
      <c r="C202" s="284">
        <v>81069</v>
      </c>
      <c r="D202" s="32" t="s">
        <v>1177</v>
      </c>
      <c r="E202" s="40">
        <v>12</v>
      </c>
      <c r="F202" s="284" t="s">
        <v>1517</v>
      </c>
      <c r="G202" s="268"/>
      <c r="H202" s="268"/>
      <c r="I202" s="177"/>
      <c r="J202" s="285">
        <f t="shared" si="6"/>
        <v>0</v>
      </c>
      <c r="K202" s="286"/>
    </row>
    <row r="203" spans="1:11" x14ac:dyDescent="0.3">
      <c r="A203" s="179" t="s">
        <v>430</v>
      </c>
      <c r="B203" s="284" t="s">
        <v>10</v>
      </c>
      <c r="C203" s="284">
        <v>81070</v>
      </c>
      <c r="D203" s="32" t="s">
        <v>1209</v>
      </c>
      <c r="E203" s="40">
        <v>6</v>
      </c>
      <c r="F203" s="284" t="s">
        <v>1517</v>
      </c>
      <c r="G203" s="268"/>
      <c r="H203" s="268"/>
      <c r="I203" s="177"/>
      <c r="J203" s="285">
        <f t="shared" si="6"/>
        <v>0</v>
      </c>
      <c r="K203" s="286"/>
    </row>
    <row r="204" spans="1:11" x14ac:dyDescent="0.3">
      <c r="A204" s="179" t="s">
        <v>431</v>
      </c>
      <c r="B204" s="284" t="s">
        <v>10</v>
      </c>
      <c r="C204" s="202">
        <v>81100</v>
      </c>
      <c r="D204" s="47" t="s">
        <v>1178</v>
      </c>
      <c r="E204" s="48"/>
      <c r="F204" s="44"/>
      <c r="G204" s="267"/>
      <c r="H204" s="267"/>
      <c r="I204" s="177"/>
      <c r="J204" s="285"/>
      <c r="K204" s="286"/>
    </row>
    <row r="205" spans="1:11" x14ac:dyDescent="0.3">
      <c r="A205" s="179" t="s">
        <v>432</v>
      </c>
      <c r="B205" s="284" t="s">
        <v>10</v>
      </c>
      <c r="C205" s="202">
        <v>81102</v>
      </c>
      <c r="D205" s="47" t="s">
        <v>1179</v>
      </c>
      <c r="E205" s="48">
        <f>9+23</f>
        <v>32</v>
      </c>
      <c r="F205" s="284" t="s">
        <v>1517</v>
      </c>
      <c r="G205" s="267"/>
      <c r="H205" s="267"/>
      <c r="I205" s="177"/>
      <c r="J205" s="285">
        <f t="shared" si="6"/>
        <v>0</v>
      </c>
      <c r="K205" s="286"/>
    </row>
    <row r="206" spans="1:11" x14ac:dyDescent="0.3">
      <c r="A206" s="179" t="s">
        <v>433</v>
      </c>
      <c r="B206" s="284" t="s">
        <v>10</v>
      </c>
      <c r="C206" s="284">
        <v>81103</v>
      </c>
      <c r="D206" s="32" t="s">
        <v>1180</v>
      </c>
      <c r="E206" s="40">
        <v>10</v>
      </c>
      <c r="F206" s="284" t="s">
        <v>1517</v>
      </c>
      <c r="G206" s="268"/>
      <c r="H206" s="268"/>
      <c r="I206" s="177"/>
      <c r="J206" s="285">
        <f t="shared" si="6"/>
        <v>0</v>
      </c>
      <c r="K206" s="286"/>
    </row>
    <row r="207" spans="1:11" x14ac:dyDescent="0.3">
      <c r="A207" s="179" t="s">
        <v>434</v>
      </c>
      <c r="B207" s="284" t="s">
        <v>10</v>
      </c>
      <c r="C207" s="202">
        <v>81104</v>
      </c>
      <c r="D207" s="47" t="s">
        <v>1181</v>
      </c>
      <c r="E207" s="48">
        <v>3</v>
      </c>
      <c r="F207" s="284" t="s">
        <v>1517</v>
      </c>
      <c r="G207" s="267"/>
      <c r="H207" s="267"/>
      <c r="I207" s="177"/>
      <c r="J207" s="285">
        <f t="shared" si="6"/>
        <v>0</v>
      </c>
      <c r="K207" s="286"/>
    </row>
    <row r="208" spans="1:11" x14ac:dyDescent="0.3">
      <c r="A208" s="179" t="s">
        <v>435</v>
      </c>
      <c r="B208" s="284" t="s">
        <v>10</v>
      </c>
      <c r="C208" s="202">
        <v>81122</v>
      </c>
      <c r="D208" s="47" t="s">
        <v>1182</v>
      </c>
      <c r="E208" s="48">
        <v>11</v>
      </c>
      <c r="F208" s="284" t="s">
        <v>1517</v>
      </c>
      <c r="G208" s="267"/>
      <c r="H208" s="267"/>
      <c r="I208" s="177"/>
      <c r="J208" s="285">
        <f t="shared" si="6"/>
        <v>0</v>
      </c>
      <c r="K208" s="286"/>
    </row>
    <row r="209" spans="1:11" x14ac:dyDescent="0.3">
      <c r="A209" s="179" t="s">
        <v>436</v>
      </c>
      <c r="B209" s="284" t="s">
        <v>10</v>
      </c>
      <c r="C209" s="284">
        <v>81160</v>
      </c>
      <c r="D209" s="32" t="s">
        <v>274</v>
      </c>
      <c r="E209" s="40"/>
      <c r="F209" s="284"/>
      <c r="G209" s="268"/>
      <c r="H209" s="268"/>
      <c r="I209" s="177"/>
      <c r="J209" s="285"/>
      <c r="K209" s="286"/>
    </row>
    <row r="210" spans="1:11" x14ac:dyDescent="0.3">
      <c r="A210" s="179" t="s">
        <v>437</v>
      </c>
      <c r="B210" s="284" t="s">
        <v>10</v>
      </c>
      <c r="C210" s="202">
        <v>81162</v>
      </c>
      <c r="D210" s="47" t="s">
        <v>1183</v>
      </c>
      <c r="E210" s="48">
        <f>4+18</f>
        <v>22</v>
      </c>
      <c r="F210" s="284" t="s">
        <v>1517</v>
      </c>
      <c r="G210" s="267"/>
      <c r="H210" s="267"/>
      <c r="I210" s="177"/>
      <c r="J210" s="285">
        <f t="shared" si="6"/>
        <v>0</v>
      </c>
      <c r="K210" s="286"/>
    </row>
    <row r="211" spans="1:11" x14ac:dyDescent="0.3">
      <c r="A211" s="179" t="s">
        <v>438</v>
      </c>
      <c r="B211" s="284" t="s">
        <v>10</v>
      </c>
      <c r="C211" s="202">
        <v>81163</v>
      </c>
      <c r="D211" s="47" t="s">
        <v>1184</v>
      </c>
      <c r="E211" s="48">
        <v>19</v>
      </c>
      <c r="F211" s="284" t="s">
        <v>1517</v>
      </c>
      <c r="G211" s="267"/>
      <c r="H211" s="267"/>
      <c r="I211" s="177"/>
      <c r="J211" s="285">
        <f t="shared" si="6"/>
        <v>0</v>
      </c>
      <c r="K211" s="286"/>
    </row>
    <row r="212" spans="1:11" x14ac:dyDescent="0.3">
      <c r="A212" s="179" t="s">
        <v>439</v>
      </c>
      <c r="B212" s="284" t="s">
        <v>10</v>
      </c>
      <c r="C212" s="284">
        <v>81164</v>
      </c>
      <c r="D212" s="32" t="s">
        <v>1185</v>
      </c>
      <c r="E212" s="40">
        <v>7</v>
      </c>
      <c r="F212" s="284" t="s">
        <v>1517</v>
      </c>
      <c r="G212" s="268"/>
      <c r="H212" s="268"/>
      <c r="I212" s="177"/>
      <c r="J212" s="285">
        <f t="shared" si="6"/>
        <v>0</v>
      </c>
      <c r="K212" s="286"/>
    </row>
    <row r="213" spans="1:11" x14ac:dyDescent="0.3">
      <c r="A213" s="179" t="s">
        <v>440</v>
      </c>
      <c r="B213" s="284" t="s">
        <v>10</v>
      </c>
      <c r="C213" s="202">
        <v>81180</v>
      </c>
      <c r="D213" s="47" t="s">
        <v>1186</v>
      </c>
      <c r="E213" s="48">
        <v>9</v>
      </c>
      <c r="F213" s="284" t="s">
        <v>1517</v>
      </c>
      <c r="G213" s="267"/>
      <c r="H213" s="267"/>
      <c r="I213" s="177"/>
      <c r="J213" s="285">
        <f t="shared" si="6"/>
        <v>0</v>
      </c>
      <c r="K213" s="286"/>
    </row>
    <row r="214" spans="1:11" x14ac:dyDescent="0.3">
      <c r="A214" s="179" t="s">
        <v>441</v>
      </c>
      <c r="B214" s="284" t="s">
        <v>10</v>
      </c>
      <c r="C214" s="202">
        <v>81182</v>
      </c>
      <c r="D214" s="47" t="s">
        <v>1210</v>
      </c>
      <c r="E214" s="48">
        <v>1</v>
      </c>
      <c r="F214" s="284" t="s">
        <v>1517</v>
      </c>
      <c r="G214" s="267"/>
      <c r="H214" s="267"/>
      <c r="I214" s="177"/>
      <c r="J214" s="285">
        <f t="shared" ref="J214:J277" si="9">(G214+H214)*E214*1.2665</f>
        <v>0</v>
      </c>
      <c r="K214" s="286"/>
    </row>
    <row r="215" spans="1:11" x14ac:dyDescent="0.3">
      <c r="A215" s="179" t="s">
        <v>442</v>
      </c>
      <c r="B215" s="284" t="s">
        <v>10</v>
      </c>
      <c r="C215" s="202">
        <v>81183</v>
      </c>
      <c r="D215" s="47" t="s">
        <v>1211</v>
      </c>
      <c r="E215" s="48">
        <v>1</v>
      </c>
      <c r="F215" s="284" t="s">
        <v>1517</v>
      </c>
      <c r="G215" s="267"/>
      <c r="H215" s="267"/>
      <c r="I215" s="177"/>
      <c r="J215" s="285">
        <f t="shared" si="9"/>
        <v>0</v>
      </c>
      <c r="K215" s="286"/>
    </row>
    <row r="216" spans="1:11" x14ac:dyDescent="0.3">
      <c r="A216" s="179" t="s">
        <v>443</v>
      </c>
      <c r="B216" s="284" t="s">
        <v>10</v>
      </c>
      <c r="C216" s="202">
        <v>81300</v>
      </c>
      <c r="D216" s="47" t="s">
        <v>1187</v>
      </c>
      <c r="E216" s="48"/>
      <c r="F216" s="44"/>
      <c r="G216" s="267"/>
      <c r="H216" s="267"/>
      <c r="I216" s="177"/>
      <c r="J216" s="285"/>
      <c r="K216" s="286"/>
    </row>
    <row r="217" spans="1:11" x14ac:dyDescent="0.3">
      <c r="A217" s="179" t="s">
        <v>444</v>
      </c>
      <c r="B217" s="284" t="s">
        <v>10</v>
      </c>
      <c r="C217" s="284">
        <v>81302</v>
      </c>
      <c r="D217" s="32" t="s">
        <v>1188</v>
      </c>
      <c r="E217" s="40">
        <v>4</v>
      </c>
      <c r="F217" s="284" t="s">
        <v>1517</v>
      </c>
      <c r="G217" s="268"/>
      <c r="H217" s="268"/>
      <c r="I217" s="177"/>
      <c r="J217" s="285">
        <f t="shared" si="9"/>
        <v>0</v>
      </c>
      <c r="K217" s="286"/>
    </row>
    <row r="218" spans="1:11" x14ac:dyDescent="0.3">
      <c r="A218" s="179" t="s">
        <v>445</v>
      </c>
      <c r="B218" s="284" t="s">
        <v>10</v>
      </c>
      <c r="C218" s="202">
        <v>81321</v>
      </c>
      <c r="D218" s="47" t="s">
        <v>1189</v>
      </c>
      <c r="E218" s="48">
        <v>33</v>
      </c>
      <c r="F218" s="284" t="s">
        <v>1517</v>
      </c>
      <c r="G218" s="267"/>
      <c r="H218" s="267"/>
      <c r="I218" s="177"/>
      <c r="J218" s="285">
        <f t="shared" si="9"/>
        <v>0</v>
      </c>
      <c r="K218" s="286"/>
    </row>
    <row r="219" spans="1:11" x14ac:dyDescent="0.3">
      <c r="A219" s="179" t="s">
        <v>446</v>
      </c>
      <c r="B219" s="284" t="s">
        <v>10</v>
      </c>
      <c r="C219" s="202">
        <v>81322</v>
      </c>
      <c r="D219" s="47" t="s">
        <v>1190</v>
      </c>
      <c r="E219" s="48">
        <v>20</v>
      </c>
      <c r="F219" s="284" t="s">
        <v>1517</v>
      </c>
      <c r="G219" s="267"/>
      <c r="H219" s="267"/>
      <c r="I219" s="177"/>
      <c r="J219" s="285">
        <f t="shared" si="9"/>
        <v>0</v>
      </c>
      <c r="K219" s="286"/>
    </row>
    <row r="220" spans="1:11" x14ac:dyDescent="0.3">
      <c r="A220" s="179" t="s">
        <v>447</v>
      </c>
      <c r="B220" s="284" t="s">
        <v>10</v>
      </c>
      <c r="C220" s="284">
        <v>81323</v>
      </c>
      <c r="D220" s="32" t="s">
        <v>1191</v>
      </c>
      <c r="E220" s="40">
        <f>6+17</f>
        <v>23</v>
      </c>
      <c r="F220" s="284" t="s">
        <v>1517</v>
      </c>
      <c r="G220" s="268"/>
      <c r="H220" s="268"/>
      <c r="I220" s="177"/>
      <c r="J220" s="285">
        <f t="shared" si="9"/>
        <v>0</v>
      </c>
      <c r="K220" s="286"/>
    </row>
    <row r="221" spans="1:11" x14ac:dyDescent="0.3">
      <c r="A221" s="179" t="s">
        <v>448</v>
      </c>
      <c r="B221" s="284" t="s">
        <v>10</v>
      </c>
      <c r="C221" s="202">
        <v>81324</v>
      </c>
      <c r="D221" s="47" t="s">
        <v>1192</v>
      </c>
      <c r="E221" s="48">
        <v>15</v>
      </c>
      <c r="F221" s="284" t="s">
        <v>1517</v>
      </c>
      <c r="G221" s="267"/>
      <c r="H221" s="267"/>
      <c r="I221" s="177"/>
      <c r="J221" s="285">
        <f t="shared" si="9"/>
        <v>0</v>
      </c>
      <c r="K221" s="286"/>
    </row>
    <row r="222" spans="1:11" x14ac:dyDescent="0.3">
      <c r="A222" s="179" t="s">
        <v>449</v>
      </c>
      <c r="B222" s="34" t="s">
        <v>10</v>
      </c>
      <c r="C222" s="34">
        <v>81325</v>
      </c>
      <c r="D222" s="50" t="s">
        <v>1396</v>
      </c>
      <c r="E222" s="33">
        <v>9</v>
      </c>
      <c r="F222" s="284" t="s">
        <v>1517</v>
      </c>
      <c r="G222" s="271"/>
      <c r="H222" s="271"/>
      <c r="I222" s="177"/>
      <c r="J222" s="285">
        <f t="shared" si="9"/>
        <v>0</v>
      </c>
      <c r="K222" s="286"/>
    </row>
    <row r="223" spans="1:11" x14ac:dyDescent="0.3">
      <c r="A223" s="179" t="s">
        <v>450</v>
      </c>
      <c r="B223" s="284" t="s">
        <v>10</v>
      </c>
      <c r="C223" s="202">
        <v>81360</v>
      </c>
      <c r="D223" s="47" t="s">
        <v>1194</v>
      </c>
      <c r="E223" s="48">
        <f>32+35</f>
        <v>67</v>
      </c>
      <c r="F223" s="284" t="s">
        <v>1517</v>
      </c>
      <c r="G223" s="267"/>
      <c r="H223" s="267"/>
      <c r="I223" s="177"/>
      <c r="J223" s="285">
        <f t="shared" si="9"/>
        <v>0</v>
      </c>
      <c r="K223" s="286"/>
    </row>
    <row r="224" spans="1:11" x14ac:dyDescent="0.3">
      <c r="A224" s="179" t="s">
        <v>451</v>
      </c>
      <c r="B224" s="284" t="s">
        <v>10</v>
      </c>
      <c r="C224" s="202">
        <v>81369</v>
      </c>
      <c r="D224" s="47" t="s">
        <v>1193</v>
      </c>
      <c r="E224" s="48">
        <v>34</v>
      </c>
      <c r="F224" s="284" t="s">
        <v>1517</v>
      </c>
      <c r="G224" s="267"/>
      <c r="H224" s="267"/>
      <c r="I224" s="177"/>
      <c r="J224" s="285">
        <f t="shared" si="9"/>
        <v>0</v>
      </c>
      <c r="K224" s="286"/>
    </row>
    <row r="225" spans="1:11" x14ac:dyDescent="0.3">
      <c r="A225" s="179" t="s">
        <v>452</v>
      </c>
      <c r="B225" s="284" t="s">
        <v>10</v>
      </c>
      <c r="C225" s="284">
        <v>81400</v>
      </c>
      <c r="D225" s="32" t="s">
        <v>1195</v>
      </c>
      <c r="E225" s="40"/>
      <c r="F225" s="284"/>
      <c r="G225" s="268"/>
      <c r="H225" s="268"/>
      <c r="I225" s="177"/>
      <c r="J225" s="285"/>
      <c r="K225" s="286"/>
    </row>
    <row r="226" spans="1:11" x14ac:dyDescent="0.3">
      <c r="A226" s="179" t="s">
        <v>453</v>
      </c>
      <c r="B226" s="284" t="s">
        <v>10</v>
      </c>
      <c r="C226" s="202">
        <v>81402</v>
      </c>
      <c r="D226" s="47" t="s">
        <v>1196</v>
      </c>
      <c r="E226" s="48">
        <f>29+8</f>
        <v>37</v>
      </c>
      <c r="F226" s="284" t="s">
        <v>1517</v>
      </c>
      <c r="G226" s="267"/>
      <c r="H226" s="267"/>
      <c r="I226" s="177"/>
      <c r="J226" s="285">
        <f t="shared" si="9"/>
        <v>0</v>
      </c>
      <c r="K226" s="286"/>
    </row>
    <row r="227" spans="1:11" x14ac:dyDescent="0.3">
      <c r="A227" s="179" t="s">
        <v>454</v>
      </c>
      <c r="B227" s="284" t="s">
        <v>10</v>
      </c>
      <c r="C227" s="202">
        <v>81403</v>
      </c>
      <c r="D227" s="47" t="s">
        <v>1197</v>
      </c>
      <c r="E227" s="48">
        <v>9</v>
      </c>
      <c r="F227" s="284" t="s">
        <v>1517</v>
      </c>
      <c r="G227" s="267"/>
      <c r="H227" s="267"/>
      <c r="I227" s="177"/>
      <c r="J227" s="285">
        <f t="shared" si="9"/>
        <v>0</v>
      </c>
      <c r="K227" s="286"/>
    </row>
    <row r="228" spans="1:11" x14ac:dyDescent="0.3">
      <c r="A228" s="179" t="s">
        <v>455</v>
      </c>
      <c r="B228" s="284" t="s">
        <v>10</v>
      </c>
      <c r="C228" s="284">
        <v>81404</v>
      </c>
      <c r="D228" s="32" t="s">
        <v>1198</v>
      </c>
      <c r="E228" s="40">
        <v>15</v>
      </c>
      <c r="F228" s="284" t="s">
        <v>1517</v>
      </c>
      <c r="G228" s="268"/>
      <c r="H228" s="268"/>
      <c r="I228" s="177"/>
      <c r="J228" s="285">
        <f t="shared" si="9"/>
        <v>0</v>
      </c>
      <c r="K228" s="286"/>
    </row>
    <row r="229" spans="1:11" x14ac:dyDescent="0.3">
      <c r="A229" s="179" t="s">
        <v>456</v>
      </c>
      <c r="B229" s="284" t="s">
        <v>10</v>
      </c>
      <c r="C229" s="202">
        <v>81405</v>
      </c>
      <c r="D229" s="47" t="s">
        <v>1199</v>
      </c>
      <c r="E229" s="48">
        <v>11</v>
      </c>
      <c r="F229" s="284" t="s">
        <v>1517</v>
      </c>
      <c r="G229" s="267"/>
      <c r="H229" s="267"/>
      <c r="I229" s="177"/>
      <c r="J229" s="285">
        <f t="shared" si="9"/>
        <v>0</v>
      </c>
      <c r="K229" s="286"/>
    </row>
    <row r="230" spans="1:11" x14ac:dyDescent="0.3">
      <c r="A230" s="179" t="s">
        <v>457</v>
      </c>
      <c r="B230" s="284" t="s">
        <v>10</v>
      </c>
      <c r="C230" s="202">
        <v>81406</v>
      </c>
      <c r="D230" s="47" t="s">
        <v>1212</v>
      </c>
      <c r="E230" s="48">
        <v>3</v>
      </c>
      <c r="F230" s="284" t="s">
        <v>1517</v>
      </c>
      <c r="G230" s="267"/>
      <c r="H230" s="267"/>
      <c r="I230" s="177"/>
      <c r="J230" s="285">
        <f t="shared" si="9"/>
        <v>0</v>
      </c>
      <c r="K230" s="286"/>
    </row>
    <row r="231" spans="1:11" x14ac:dyDescent="0.3">
      <c r="A231" s="179" t="s">
        <v>672</v>
      </c>
      <c r="B231" s="284" t="s">
        <v>10</v>
      </c>
      <c r="C231" s="202">
        <v>81421</v>
      </c>
      <c r="D231" s="47" t="s">
        <v>1200</v>
      </c>
      <c r="E231" s="48">
        <v>35</v>
      </c>
      <c r="F231" s="284" t="s">
        <v>1517</v>
      </c>
      <c r="G231" s="267"/>
      <c r="H231" s="267"/>
      <c r="I231" s="177"/>
      <c r="J231" s="285">
        <f t="shared" si="9"/>
        <v>0</v>
      </c>
      <c r="K231" s="286"/>
    </row>
    <row r="232" spans="1:11" x14ac:dyDescent="0.3">
      <c r="A232" s="179" t="s">
        <v>673</v>
      </c>
      <c r="B232" s="284" t="s">
        <v>10</v>
      </c>
      <c r="C232" s="284">
        <v>81422</v>
      </c>
      <c r="D232" s="32" t="s">
        <v>1201</v>
      </c>
      <c r="E232" s="40">
        <v>3</v>
      </c>
      <c r="F232" s="284" t="s">
        <v>1517</v>
      </c>
      <c r="G232" s="268"/>
      <c r="H232" s="268"/>
      <c r="I232" s="177"/>
      <c r="J232" s="285">
        <f t="shared" si="9"/>
        <v>0</v>
      </c>
      <c r="K232" s="286"/>
    </row>
    <row r="233" spans="1:11" x14ac:dyDescent="0.3">
      <c r="A233" s="179" t="s">
        <v>674</v>
      </c>
      <c r="B233" s="284" t="s">
        <v>10</v>
      </c>
      <c r="C233" s="202">
        <v>81425</v>
      </c>
      <c r="D233" s="47" t="s">
        <v>1202</v>
      </c>
      <c r="E233" s="48">
        <v>5</v>
      </c>
      <c r="F233" s="284" t="s">
        <v>1517</v>
      </c>
      <c r="G233" s="267"/>
      <c r="H233" s="267"/>
      <c r="I233" s="177"/>
      <c r="J233" s="285">
        <f t="shared" si="9"/>
        <v>0</v>
      </c>
      <c r="K233" s="286"/>
    </row>
    <row r="234" spans="1:11" x14ac:dyDescent="0.3">
      <c r="A234" s="179" t="s">
        <v>675</v>
      </c>
      <c r="B234" s="284" t="s">
        <v>10</v>
      </c>
      <c r="C234" s="202">
        <v>81426</v>
      </c>
      <c r="D234" s="47" t="s">
        <v>1203</v>
      </c>
      <c r="E234" s="48">
        <v>2</v>
      </c>
      <c r="F234" s="284" t="s">
        <v>1517</v>
      </c>
      <c r="G234" s="267"/>
      <c r="H234" s="267"/>
      <c r="I234" s="177"/>
      <c r="J234" s="285">
        <f t="shared" si="9"/>
        <v>0</v>
      </c>
      <c r="K234" s="286"/>
    </row>
    <row r="235" spans="1:11" x14ac:dyDescent="0.3">
      <c r="A235" s="179" t="s">
        <v>676</v>
      </c>
      <c r="B235" s="284" t="s">
        <v>10</v>
      </c>
      <c r="C235" s="202">
        <v>81460</v>
      </c>
      <c r="D235" s="47" t="s">
        <v>1213</v>
      </c>
      <c r="E235" s="48"/>
      <c r="F235" s="44"/>
      <c r="G235" s="267"/>
      <c r="H235" s="267"/>
      <c r="I235" s="177"/>
      <c r="J235" s="285"/>
      <c r="K235" s="286"/>
    </row>
    <row r="236" spans="1:11" x14ac:dyDescent="0.3">
      <c r="A236" s="179" t="s">
        <v>677</v>
      </c>
      <c r="B236" s="284" t="s">
        <v>10</v>
      </c>
      <c r="C236" s="202">
        <v>81463</v>
      </c>
      <c r="D236" s="47" t="s">
        <v>1214</v>
      </c>
      <c r="E236" s="48">
        <v>8</v>
      </c>
      <c r="F236" s="284" t="s">
        <v>1517</v>
      </c>
      <c r="G236" s="267"/>
      <c r="H236" s="267"/>
      <c r="I236" s="177"/>
      <c r="J236" s="285">
        <f t="shared" si="9"/>
        <v>0</v>
      </c>
      <c r="K236" s="286"/>
    </row>
    <row r="237" spans="1:11" x14ac:dyDescent="0.3">
      <c r="A237" s="179" t="s">
        <v>678</v>
      </c>
      <c r="B237" s="284" t="s">
        <v>10</v>
      </c>
      <c r="C237" s="202">
        <v>81464</v>
      </c>
      <c r="D237" s="47" t="s">
        <v>1215</v>
      </c>
      <c r="E237" s="48">
        <v>9</v>
      </c>
      <c r="F237" s="284" t="s">
        <v>1517</v>
      </c>
      <c r="G237" s="267"/>
      <c r="H237" s="267"/>
      <c r="I237" s="177"/>
      <c r="J237" s="285">
        <f t="shared" si="9"/>
        <v>0</v>
      </c>
      <c r="K237" s="286"/>
    </row>
    <row r="238" spans="1:11" x14ac:dyDescent="0.3">
      <c r="A238" s="179" t="s">
        <v>679</v>
      </c>
      <c r="B238" s="284" t="s">
        <v>10</v>
      </c>
      <c r="C238" s="284">
        <v>81535</v>
      </c>
      <c r="D238" s="32" t="s">
        <v>1204</v>
      </c>
      <c r="E238" s="40"/>
      <c r="F238" s="284"/>
      <c r="G238" s="268"/>
      <c r="H238" s="268"/>
      <c r="I238" s="177"/>
      <c r="J238" s="285"/>
      <c r="K238" s="286"/>
    </row>
    <row r="239" spans="1:11" x14ac:dyDescent="0.3">
      <c r="A239" s="179" t="s">
        <v>680</v>
      </c>
      <c r="B239" s="284" t="s">
        <v>10</v>
      </c>
      <c r="C239" s="284">
        <v>81537</v>
      </c>
      <c r="D239" s="32" t="s">
        <v>1205</v>
      </c>
      <c r="E239" s="40">
        <v>42</v>
      </c>
      <c r="F239" s="284" t="s">
        <v>1517</v>
      </c>
      <c r="G239" s="268"/>
      <c r="H239" s="268"/>
      <c r="I239" s="177"/>
      <c r="J239" s="285">
        <f t="shared" si="9"/>
        <v>0</v>
      </c>
      <c r="K239" s="286"/>
    </row>
    <row r="240" spans="1:11" x14ac:dyDescent="0.3">
      <c r="A240" s="179" t="s">
        <v>681</v>
      </c>
      <c r="B240" s="284" t="s">
        <v>10</v>
      </c>
      <c r="C240" s="284">
        <v>81538</v>
      </c>
      <c r="D240" s="32" t="s">
        <v>1206</v>
      </c>
      <c r="E240" s="40">
        <v>13</v>
      </c>
      <c r="F240" s="284" t="s">
        <v>1517</v>
      </c>
      <c r="G240" s="268"/>
      <c r="H240" s="268"/>
      <c r="I240" s="177"/>
      <c r="J240" s="285">
        <f t="shared" si="9"/>
        <v>0</v>
      </c>
      <c r="K240" s="286"/>
    </row>
    <row r="241" spans="1:11" x14ac:dyDescent="0.3">
      <c r="A241" s="179" t="s">
        <v>682</v>
      </c>
      <c r="B241" s="284" t="s">
        <v>10</v>
      </c>
      <c r="C241" s="284">
        <v>81539</v>
      </c>
      <c r="D241" s="32" t="s">
        <v>1216</v>
      </c>
      <c r="E241" s="40">
        <v>5</v>
      </c>
      <c r="F241" s="284" t="s">
        <v>1517</v>
      </c>
      <c r="G241" s="268"/>
      <c r="H241" s="268"/>
      <c r="I241" s="177"/>
      <c r="J241" s="285">
        <f t="shared" si="9"/>
        <v>0</v>
      </c>
      <c r="K241" s="286"/>
    </row>
    <row r="242" spans="1:11" x14ac:dyDescent="0.3">
      <c r="A242" s="179" t="s">
        <v>683</v>
      </c>
      <c r="B242" s="284" t="s">
        <v>10</v>
      </c>
      <c r="C242" s="284">
        <v>81541</v>
      </c>
      <c r="D242" s="32" t="s">
        <v>1217</v>
      </c>
      <c r="E242" s="40">
        <v>1</v>
      </c>
      <c r="F242" s="284" t="s">
        <v>1517</v>
      </c>
      <c r="G242" s="268"/>
      <c r="H242" s="268"/>
      <c r="I242" s="177"/>
      <c r="J242" s="285">
        <f t="shared" si="9"/>
        <v>0</v>
      </c>
      <c r="K242" s="286"/>
    </row>
    <row r="243" spans="1:11" x14ac:dyDescent="0.3">
      <c r="A243" s="179" t="s">
        <v>684</v>
      </c>
      <c r="B243" s="284" t="s">
        <v>10</v>
      </c>
      <c r="C243" s="44">
        <v>81600</v>
      </c>
      <c r="D243" s="47" t="s">
        <v>273</v>
      </c>
      <c r="E243" s="48"/>
      <c r="F243" s="48"/>
      <c r="G243" s="267"/>
      <c r="H243" s="267"/>
      <c r="I243" s="177"/>
      <c r="J243" s="285"/>
      <c r="K243" s="286"/>
    </row>
    <row r="244" spans="1:11" x14ac:dyDescent="0.3">
      <c r="A244" s="179" t="s">
        <v>685</v>
      </c>
      <c r="B244" s="284" t="s">
        <v>10</v>
      </c>
      <c r="C244" s="202">
        <v>81601</v>
      </c>
      <c r="D244" s="47" t="s">
        <v>274</v>
      </c>
      <c r="E244" s="48"/>
      <c r="F244" s="48"/>
      <c r="G244" s="267"/>
      <c r="H244" s="267"/>
      <c r="I244" s="177"/>
      <c r="J244" s="285"/>
      <c r="K244" s="286"/>
    </row>
    <row r="245" spans="1:11" x14ac:dyDescent="0.3">
      <c r="A245" s="179" t="s">
        <v>686</v>
      </c>
      <c r="B245" s="284" t="s">
        <v>10</v>
      </c>
      <c r="C245" s="202">
        <v>81602</v>
      </c>
      <c r="D245" s="47" t="s">
        <v>275</v>
      </c>
      <c r="E245" s="48">
        <v>25</v>
      </c>
      <c r="F245" s="284" t="s">
        <v>1517</v>
      </c>
      <c r="G245" s="267"/>
      <c r="H245" s="267"/>
      <c r="I245" s="177"/>
      <c r="J245" s="285">
        <f t="shared" si="9"/>
        <v>0</v>
      </c>
      <c r="K245" s="286"/>
    </row>
    <row r="246" spans="1:11" x14ac:dyDescent="0.3">
      <c r="A246" s="179" t="s">
        <v>687</v>
      </c>
      <c r="B246" s="284" t="s">
        <v>10</v>
      </c>
      <c r="C246" s="202">
        <v>81660</v>
      </c>
      <c r="D246" s="47" t="s">
        <v>276</v>
      </c>
      <c r="E246" s="48"/>
      <c r="F246" s="48"/>
      <c r="G246" s="267"/>
      <c r="H246" s="267"/>
      <c r="I246" s="177"/>
      <c r="J246" s="285"/>
      <c r="K246" s="286"/>
    </row>
    <row r="247" spans="1:11" x14ac:dyDescent="0.3">
      <c r="A247" s="179" t="s">
        <v>688</v>
      </c>
      <c r="B247" s="284" t="s">
        <v>10</v>
      </c>
      <c r="C247" s="284">
        <v>81662</v>
      </c>
      <c r="D247" s="32" t="s">
        <v>277</v>
      </c>
      <c r="E247" s="40">
        <v>6</v>
      </c>
      <c r="F247" s="284" t="s">
        <v>1517</v>
      </c>
      <c r="G247" s="268"/>
      <c r="H247" s="268"/>
      <c r="I247" s="177"/>
      <c r="J247" s="285">
        <f t="shared" si="9"/>
        <v>0</v>
      </c>
      <c r="K247" s="286"/>
    </row>
    <row r="248" spans="1:11" x14ac:dyDescent="0.3">
      <c r="A248" s="179" t="s">
        <v>689</v>
      </c>
      <c r="B248" s="284" t="s">
        <v>10</v>
      </c>
      <c r="C248" s="44">
        <v>81663</v>
      </c>
      <c r="D248" s="47" t="s">
        <v>278</v>
      </c>
      <c r="E248" s="48">
        <v>14</v>
      </c>
      <c r="F248" s="284" t="s">
        <v>1517</v>
      </c>
      <c r="G248" s="267"/>
      <c r="H248" s="267"/>
      <c r="I248" s="177"/>
      <c r="J248" s="285">
        <f t="shared" si="9"/>
        <v>0</v>
      </c>
      <c r="K248" s="286"/>
    </row>
    <row r="249" spans="1:11" x14ac:dyDescent="0.3">
      <c r="A249" s="179" t="s">
        <v>690</v>
      </c>
      <c r="B249" s="284" t="s">
        <v>10</v>
      </c>
      <c r="C249" s="284">
        <v>81664</v>
      </c>
      <c r="D249" s="32" t="s">
        <v>279</v>
      </c>
      <c r="E249" s="40">
        <v>2</v>
      </c>
      <c r="F249" s="284" t="s">
        <v>1517</v>
      </c>
      <c r="G249" s="268"/>
      <c r="H249" s="268"/>
      <c r="I249" s="177"/>
      <c r="J249" s="285">
        <f t="shared" si="9"/>
        <v>0</v>
      </c>
      <c r="K249" s="286"/>
    </row>
    <row r="250" spans="1:11" x14ac:dyDescent="0.3">
      <c r="A250" s="179" t="s">
        <v>691</v>
      </c>
      <c r="B250" s="284" t="s">
        <v>10</v>
      </c>
      <c r="C250" s="44">
        <v>81690</v>
      </c>
      <c r="D250" s="47" t="s">
        <v>280</v>
      </c>
      <c r="E250" s="48">
        <v>17</v>
      </c>
      <c r="F250" s="284" t="s">
        <v>1517</v>
      </c>
      <c r="G250" s="267"/>
      <c r="H250" s="267"/>
      <c r="I250" s="177"/>
      <c r="J250" s="285">
        <f t="shared" si="9"/>
        <v>0</v>
      </c>
      <c r="K250" s="286"/>
    </row>
    <row r="251" spans="1:11" x14ac:dyDescent="0.3">
      <c r="A251" s="179" t="s">
        <v>692</v>
      </c>
      <c r="B251" s="284" t="s">
        <v>10</v>
      </c>
      <c r="C251" s="202">
        <v>81691</v>
      </c>
      <c r="D251" s="47" t="s">
        <v>281</v>
      </c>
      <c r="E251" s="48">
        <v>15</v>
      </c>
      <c r="F251" s="284" t="s">
        <v>1517</v>
      </c>
      <c r="G251" s="267"/>
      <c r="H251" s="267"/>
      <c r="I251" s="177"/>
      <c r="J251" s="285">
        <f t="shared" si="9"/>
        <v>0</v>
      </c>
      <c r="K251" s="286"/>
    </row>
    <row r="252" spans="1:11" x14ac:dyDescent="0.3">
      <c r="A252" s="179" t="s">
        <v>693</v>
      </c>
      <c r="B252" s="284" t="s">
        <v>10</v>
      </c>
      <c r="C252" s="284">
        <v>81700</v>
      </c>
      <c r="D252" s="32" t="s">
        <v>282</v>
      </c>
      <c r="E252" s="40"/>
      <c r="F252" s="284"/>
      <c r="G252" s="268"/>
      <c r="H252" s="268"/>
      <c r="I252" s="177"/>
      <c r="J252" s="285"/>
      <c r="K252" s="286"/>
    </row>
    <row r="253" spans="1:11" x14ac:dyDescent="0.3">
      <c r="A253" s="179" t="s">
        <v>694</v>
      </c>
      <c r="B253" s="284" t="s">
        <v>10</v>
      </c>
      <c r="C253" s="202">
        <v>81701</v>
      </c>
      <c r="D253" s="47" t="s">
        <v>286</v>
      </c>
      <c r="E253" s="48">
        <v>12</v>
      </c>
      <c r="F253" s="284" t="s">
        <v>1517</v>
      </c>
      <c r="G253" s="267"/>
      <c r="H253" s="267"/>
      <c r="I253" s="177"/>
      <c r="J253" s="285">
        <f t="shared" si="9"/>
        <v>0</v>
      </c>
      <c r="K253" s="286"/>
    </row>
    <row r="254" spans="1:11" x14ac:dyDescent="0.3">
      <c r="A254" s="179" t="s">
        <v>695</v>
      </c>
      <c r="B254" s="284" t="s">
        <v>10</v>
      </c>
      <c r="C254" s="202">
        <v>81733</v>
      </c>
      <c r="D254" s="47" t="s">
        <v>287</v>
      </c>
      <c r="E254" s="48">
        <v>28</v>
      </c>
      <c r="F254" s="284" t="s">
        <v>1517</v>
      </c>
      <c r="G254" s="267"/>
      <c r="H254" s="267"/>
      <c r="I254" s="177"/>
      <c r="J254" s="285">
        <f t="shared" si="9"/>
        <v>0</v>
      </c>
      <c r="K254" s="286"/>
    </row>
    <row r="255" spans="1:11" x14ac:dyDescent="0.3">
      <c r="A255" s="179" t="s">
        <v>696</v>
      </c>
      <c r="B255" s="284" t="s">
        <v>10</v>
      </c>
      <c r="C255" s="202">
        <v>81730</v>
      </c>
      <c r="D255" s="47" t="s">
        <v>289</v>
      </c>
      <c r="E255" s="48">
        <v>53</v>
      </c>
      <c r="F255" s="284" t="s">
        <v>1517</v>
      </c>
      <c r="G255" s="267"/>
      <c r="H255" s="267"/>
      <c r="I255" s="177"/>
      <c r="J255" s="285">
        <f t="shared" si="9"/>
        <v>0</v>
      </c>
      <c r="K255" s="286"/>
    </row>
    <row r="256" spans="1:11" x14ac:dyDescent="0.3">
      <c r="A256" s="179" t="s">
        <v>697</v>
      </c>
      <c r="B256" s="284" t="s">
        <v>10</v>
      </c>
      <c r="C256" s="202">
        <v>81731</v>
      </c>
      <c r="D256" s="47" t="s">
        <v>288</v>
      </c>
      <c r="E256" s="48">
        <v>15</v>
      </c>
      <c r="F256" s="284" t="s">
        <v>1517</v>
      </c>
      <c r="G256" s="267"/>
      <c r="H256" s="267"/>
      <c r="I256" s="177"/>
      <c r="J256" s="285">
        <f t="shared" si="9"/>
        <v>0</v>
      </c>
      <c r="K256" s="286"/>
    </row>
    <row r="257" spans="1:11" x14ac:dyDescent="0.3">
      <c r="A257" s="179" t="s">
        <v>698</v>
      </c>
      <c r="B257" s="284" t="s">
        <v>10</v>
      </c>
      <c r="C257" s="44">
        <v>81732</v>
      </c>
      <c r="D257" s="47" t="s">
        <v>290</v>
      </c>
      <c r="E257" s="48">
        <v>2</v>
      </c>
      <c r="F257" s="284" t="s">
        <v>1517</v>
      </c>
      <c r="G257" s="267"/>
      <c r="H257" s="267"/>
      <c r="I257" s="177"/>
      <c r="J257" s="285">
        <f t="shared" si="9"/>
        <v>0</v>
      </c>
      <c r="K257" s="286"/>
    </row>
    <row r="258" spans="1:11" x14ac:dyDescent="0.3">
      <c r="A258" s="179" t="s">
        <v>699</v>
      </c>
      <c r="B258" s="284" t="s">
        <v>10</v>
      </c>
      <c r="C258" s="202">
        <v>81735</v>
      </c>
      <c r="D258" s="47" t="s">
        <v>284</v>
      </c>
      <c r="E258" s="48">
        <f>31+22</f>
        <v>53</v>
      </c>
      <c r="F258" s="284" t="s">
        <v>1517</v>
      </c>
      <c r="G258" s="267"/>
      <c r="H258" s="267"/>
      <c r="I258" s="177"/>
      <c r="J258" s="285">
        <f t="shared" si="9"/>
        <v>0</v>
      </c>
      <c r="K258" s="286"/>
    </row>
    <row r="259" spans="1:11" x14ac:dyDescent="0.3">
      <c r="A259" s="179" t="s">
        <v>1129</v>
      </c>
      <c r="B259" s="284" t="s">
        <v>10</v>
      </c>
      <c r="C259" s="202">
        <v>81736</v>
      </c>
      <c r="D259" s="47" t="s">
        <v>285</v>
      </c>
      <c r="E259" s="48">
        <f>12+15</f>
        <v>27</v>
      </c>
      <c r="F259" s="284" t="s">
        <v>1517</v>
      </c>
      <c r="G259" s="267"/>
      <c r="H259" s="267"/>
      <c r="I259" s="177"/>
      <c r="J259" s="285">
        <f t="shared" si="9"/>
        <v>0</v>
      </c>
      <c r="K259" s="286"/>
    </row>
    <row r="260" spans="1:11" x14ac:dyDescent="0.3">
      <c r="A260" s="179" t="s">
        <v>1130</v>
      </c>
      <c r="B260" s="284" t="s">
        <v>10</v>
      </c>
      <c r="C260" s="202">
        <v>81737</v>
      </c>
      <c r="D260" s="47" t="s">
        <v>283</v>
      </c>
      <c r="E260" s="48">
        <v>23</v>
      </c>
      <c r="F260" s="284" t="s">
        <v>1517</v>
      </c>
      <c r="G260" s="267"/>
      <c r="H260" s="267"/>
      <c r="I260" s="177"/>
      <c r="J260" s="285">
        <f t="shared" si="9"/>
        <v>0</v>
      </c>
      <c r="K260" s="286"/>
    </row>
    <row r="261" spans="1:11" x14ac:dyDescent="0.3">
      <c r="A261" s="179" t="s">
        <v>1131</v>
      </c>
      <c r="B261" s="284" t="s">
        <v>10</v>
      </c>
      <c r="C261" s="284">
        <v>81810</v>
      </c>
      <c r="D261" s="32" t="s">
        <v>291</v>
      </c>
      <c r="E261" s="40"/>
      <c r="F261" s="284"/>
      <c r="G261" s="268"/>
      <c r="H261" s="268"/>
      <c r="I261" s="177"/>
      <c r="J261" s="285"/>
      <c r="K261" s="286"/>
    </row>
    <row r="262" spans="1:11" x14ac:dyDescent="0.3">
      <c r="A262" s="179" t="s">
        <v>1132</v>
      </c>
      <c r="B262" s="284" t="s">
        <v>10</v>
      </c>
      <c r="C262" s="284">
        <v>81811</v>
      </c>
      <c r="D262" s="32" t="s">
        <v>349</v>
      </c>
      <c r="E262" s="40">
        <v>1</v>
      </c>
      <c r="F262" s="284" t="s">
        <v>1517</v>
      </c>
      <c r="G262" s="268"/>
      <c r="H262" s="268"/>
      <c r="I262" s="177"/>
      <c r="J262" s="285">
        <f t="shared" si="9"/>
        <v>0</v>
      </c>
      <c r="K262" s="286"/>
    </row>
    <row r="263" spans="1:11" x14ac:dyDescent="0.3">
      <c r="A263" s="179" t="s">
        <v>1133</v>
      </c>
      <c r="B263" s="284" t="s">
        <v>10</v>
      </c>
      <c r="C263" s="200">
        <v>81815</v>
      </c>
      <c r="D263" s="42" t="s">
        <v>350</v>
      </c>
      <c r="E263" s="43">
        <v>1</v>
      </c>
      <c r="F263" s="284" t="s">
        <v>1517</v>
      </c>
      <c r="G263" s="17"/>
      <c r="H263" s="18"/>
      <c r="I263" s="177"/>
      <c r="J263" s="285">
        <f t="shared" si="9"/>
        <v>0</v>
      </c>
      <c r="K263" s="286"/>
    </row>
    <row r="264" spans="1:11" x14ac:dyDescent="0.3">
      <c r="A264" s="179" t="s">
        <v>1134</v>
      </c>
      <c r="B264" s="284" t="s">
        <v>10</v>
      </c>
      <c r="C264" s="200">
        <v>81827</v>
      </c>
      <c r="D264" s="42" t="s">
        <v>1478</v>
      </c>
      <c r="E264" s="43">
        <v>7</v>
      </c>
      <c r="F264" s="284" t="s">
        <v>1517</v>
      </c>
      <c r="G264" s="17"/>
      <c r="H264" s="18"/>
      <c r="I264" s="177"/>
      <c r="J264" s="285">
        <f t="shared" si="9"/>
        <v>0</v>
      </c>
      <c r="K264" s="286"/>
    </row>
    <row r="265" spans="1:11" ht="31.2" x14ac:dyDescent="0.3">
      <c r="A265" s="179" t="s">
        <v>1135</v>
      </c>
      <c r="B265" s="284" t="s">
        <v>10</v>
      </c>
      <c r="C265" s="200">
        <v>81828</v>
      </c>
      <c r="D265" s="42" t="s">
        <v>1479</v>
      </c>
      <c r="E265" s="43">
        <v>16</v>
      </c>
      <c r="F265" s="284" t="s">
        <v>1517</v>
      </c>
      <c r="G265" s="17"/>
      <c r="H265" s="18"/>
      <c r="I265" s="177"/>
      <c r="J265" s="285">
        <f t="shared" si="9"/>
        <v>0</v>
      </c>
      <c r="K265" s="286"/>
    </row>
    <row r="266" spans="1:11" x14ac:dyDescent="0.3">
      <c r="A266" s="179" t="s">
        <v>1136</v>
      </c>
      <c r="B266" s="284" t="s">
        <v>10</v>
      </c>
      <c r="C266" s="200">
        <v>81835</v>
      </c>
      <c r="D266" s="42" t="s">
        <v>1480</v>
      </c>
      <c r="E266" s="43">
        <f>7*0.6*0.6</f>
        <v>2.52</v>
      </c>
      <c r="F266" s="44" t="s">
        <v>16</v>
      </c>
      <c r="G266" s="17"/>
      <c r="H266" s="18"/>
      <c r="I266" s="177"/>
      <c r="J266" s="285">
        <f t="shared" si="9"/>
        <v>0</v>
      </c>
      <c r="K266" s="286"/>
    </row>
    <row r="267" spans="1:11" x14ac:dyDescent="0.3">
      <c r="A267" s="179" t="s">
        <v>1137</v>
      </c>
      <c r="B267" s="284" t="s">
        <v>10</v>
      </c>
      <c r="C267" s="200">
        <v>81829</v>
      </c>
      <c r="D267" s="42" t="s">
        <v>351</v>
      </c>
      <c r="E267" s="43">
        <f>8*0.6*0.6</f>
        <v>2.88</v>
      </c>
      <c r="F267" s="44" t="s">
        <v>16</v>
      </c>
      <c r="G267" s="17"/>
      <c r="H267" s="18"/>
      <c r="I267" s="177"/>
      <c r="J267" s="285">
        <f t="shared" si="9"/>
        <v>0</v>
      </c>
      <c r="K267" s="286"/>
    </row>
    <row r="268" spans="1:11" ht="31.2" x14ac:dyDescent="0.3">
      <c r="A268" s="179" t="s">
        <v>1138</v>
      </c>
      <c r="B268" s="284" t="s">
        <v>10</v>
      </c>
      <c r="C268" s="284">
        <v>81830</v>
      </c>
      <c r="D268" s="32" t="s">
        <v>352</v>
      </c>
      <c r="E268" s="40">
        <f>0.6*0.6*0.05</f>
        <v>1.7999999999999999E-2</v>
      </c>
      <c r="F268" s="51" t="s">
        <v>103</v>
      </c>
      <c r="G268" s="268"/>
      <c r="H268" s="268"/>
      <c r="I268" s="177"/>
      <c r="J268" s="285">
        <f t="shared" si="9"/>
        <v>0</v>
      </c>
      <c r="K268" s="286"/>
    </row>
    <row r="269" spans="1:11" ht="31.2" x14ac:dyDescent="0.3">
      <c r="A269" s="179" t="s">
        <v>1139</v>
      </c>
      <c r="B269" s="284" t="s">
        <v>10</v>
      </c>
      <c r="C269" s="200">
        <v>81831</v>
      </c>
      <c r="D269" s="42" t="s">
        <v>353</v>
      </c>
      <c r="E269" s="43">
        <f>0.6*0.6*4*8</f>
        <v>11.52</v>
      </c>
      <c r="F269" s="44" t="s">
        <v>16</v>
      </c>
      <c r="G269" s="17"/>
      <c r="H269" s="18"/>
      <c r="I269" s="177"/>
      <c r="J269" s="285">
        <f t="shared" si="9"/>
        <v>0</v>
      </c>
      <c r="K269" s="286"/>
    </row>
    <row r="270" spans="1:11" ht="31.2" x14ac:dyDescent="0.3">
      <c r="A270" s="179" t="s">
        <v>1140</v>
      </c>
      <c r="B270" s="284" t="s">
        <v>10</v>
      </c>
      <c r="C270" s="284">
        <v>81833</v>
      </c>
      <c r="D270" s="32" t="s">
        <v>354</v>
      </c>
      <c r="E270" s="40">
        <f>0.6*0.6*0.6*8</f>
        <v>1.728</v>
      </c>
      <c r="F270" s="284" t="s">
        <v>126</v>
      </c>
      <c r="G270" s="268"/>
      <c r="H270" s="268"/>
      <c r="I270" s="177"/>
      <c r="J270" s="285">
        <f t="shared" si="9"/>
        <v>0</v>
      </c>
      <c r="K270" s="286"/>
    </row>
    <row r="271" spans="1:11" ht="31.2" x14ac:dyDescent="0.3">
      <c r="A271" s="179" t="s">
        <v>1141</v>
      </c>
      <c r="B271" s="284" t="s">
        <v>10</v>
      </c>
      <c r="C271" s="284">
        <v>81842</v>
      </c>
      <c r="D271" s="32" t="s">
        <v>1460</v>
      </c>
      <c r="E271" s="40">
        <v>1</v>
      </c>
      <c r="F271" s="284" t="s">
        <v>1517</v>
      </c>
      <c r="G271" s="268"/>
      <c r="H271" s="268"/>
      <c r="I271" s="177"/>
      <c r="J271" s="285">
        <f t="shared" si="9"/>
        <v>0</v>
      </c>
      <c r="K271" s="286"/>
    </row>
    <row r="272" spans="1:11" x14ac:dyDescent="0.3">
      <c r="A272" s="179" t="s">
        <v>1142</v>
      </c>
      <c r="B272" s="284" t="s">
        <v>10</v>
      </c>
      <c r="C272" s="202">
        <v>81851</v>
      </c>
      <c r="D272" s="47" t="s">
        <v>292</v>
      </c>
      <c r="E272" s="48">
        <v>2</v>
      </c>
      <c r="F272" s="284" t="s">
        <v>1517</v>
      </c>
      <c r="G272" s="267"/>
      <c r="H272" s="267"/>
      <c r="I272" s="177"/>
      <c r="J272" s="285">
        <f t="shared" si="9"/>
        <v>0</v>
      </c>
      <c r="K272" s="286"/>
    </row>
    <row r="273" spans="1:11" x14ac:dyDescent="0.3">
      <c r="A273" s="179" t="s">
        <v>1143</v>
      </c>
      <c r="B273" s="284" t="s">
        <v>10</v>
      </c>
      <c r="C273" s="203">
        <v>81861</v>
      </c>
      <c r="D273" s="47" t="s">
        <v>1577</v>
      </c>
      <c r="E273" s="48">
        <v>5</v>
      </c>
      <c r="F273" s="284" t="s">
        <v>1517</v>
      </c>
      <c r="G273" s="267"/>
      <c r="H273" s="267"/>
      <c r="I273" s="177"/>
      <c r="J273" s="285">
        <f t="shared" si="9"/>
        <v>0</v>
      </c>
      <c r="K273" s="286"/>
    </row>
    <row r="274" spans="1:11" ht="31.2" x14ac:dyDescent="0.3">
      <c r="A274" s="179" t="s">
        <v>1144</v>
      </c>
      <c r="B274" s="284" t="s">
        <v>10</v>
      </c>
      <c r="C274" s="203">
        <v>81881</v>
      </c>
      <c r="D274" s="47" t="s">
        <v>1461</v>
      </c>
      <c r="E274" s="48">
        <v>1</v>
      </c>
      <c r="F274" s="284" t="s">
        <v>1517</v>
      </c>
      <c r="G274" s="267"/>
      <c r="H274" s="267"/>
      <c r="I274" s="177"/>
      <c r="J274" s="285">
        <f t="shared" si="9"/>
        <v>0</v>
      </c>
      <c r="K274" s="286"/>
    </row>
    <row r="275" spans="1:11" x14ac:dyDescent="0.3">
      <c r="A275" s="179" t="s">
        <v>1145</v>
      </c>
      <c r="B275" s="284" t="s">
        <v>10</v>
      </c>
      <c r="C275" s="202">
        <v>81920</v>
      </c>
      <c r="D275" s="47" t="s">
        <v>293</v>
      </c>
      <c r="E275" s="48"/>
      <c r="F275" s="44"/>
      <c r="G275" s="267"/>
      <c r="H275" s="267"/>
      <c r="I275" s="177"/>
      <c r="J275" s="285"/>
      <c r="K275" s="286"/>
    </row>
    <row r="276" spans="1:11" x14ac:dyDescent="0.3">
      <c r="A276" s="179" t="s">
        <v>1146</v>
      </c>
      <c r="B276" s="284" t="s">
        <v>10</v>
      </c>
      <c r="C276" s="202">
        <v>81927</v>
      </c>
      <c r="D276" s="47" t="s">
        <v>294</v>
      </c>
      <c r="E276" s="48">
        <v>40</v>
      </c>
      <c r="F276" s="284" t="s">
        <v>1517</v>
      </c>
      <c r="G276" s="267"/>
      <c r="H276" s="267"/>
      <c r="I276" s="177"/>
      <c r="J276" s="285">
        <f t="shared" si="9"/>
        <v>0</v>
      </c>
      <c r="K276" s="286"/>
    </row>
    <row r="277" spans="1:11" x14ac:dyDescent="0.3">
      <c r="A277" s="179" t="s">
        <v>1150</v>
      </c>
      <c r="B277" s="284" t="s">
        <v>10</v>
      </c>
      <c r="C277" s="202">
        <v>81935</v>
      </c>
      <c r="D277" s="47" t="s">
        <v>295</v>
      </c>
      <c r="E277" s="48">
        <f>2</f>
        <v>2</v>
      </c>
      <c r="F277" s="284" t="s">
        <v>1517</v>
      </c>
      <c r="G277" s="267"/>
      <c r="H277" s="267"/>
      <c r="I277" s="177"/>
      <c r="J277" s="285">
        <f t="shared" si="9"/>
        <v>0</v>
      </c>
      <c r="K277" s="286"/>
    </row>
    <row r="278" spans="1:11" x14ac:dyDescent="0.3">
      <c r="A278" s="179" t="s">
        <v>1151</v>
      </c>
      <c r="B278" s="284" t="s">
        <v>10</v>
      </c>
      <c r="C278" s="202">
        <v>81936</v>
      </c>
      <c r="D278" s="47" t="s">
        <v>297</v>
      </c>
      <c r="E278" s="48">
        <f>4+16</f>
        <v>20</v>
      </c>
      <c r="F278" s="284" t="s">
        <v>1517</v>
      </c>
      <c r="G278" s="271"/>
      <c r="H278" s="271"/>
      <c r="I278" s="177"/>
      <c r="J278" s="285">
        <f t="shared" ref="J278:J338" si="10">(G278+H278)*E278*1.2665</f>
        <v>0</v>
      </c>
      <c r="K278" s="286"/>
    </row>
    <row r="279" spans="1:11" x14ac:dyDescent="0.3">
      <c r="A279" s="179" t="s">
        <v>1152</v>
      </c>
      <c r="B279" s="284" t="s">
        <v>10</v>
      </c>
      <c r="C279" s="202">
        <v>81937</v>
      </c>
      <c r="D279" s="47" t="s">
        <v>296</v>
      </c>
      <c r="E279" s="48">
        <f>11</f>
        <v>11</v>
      </c>
      <c r="F279" s="284" t="s">
        <v>1517</v>
      </c>
      <c r="G279" s="267"/>
      <c r="H279" s="267"/>
      <c r="I279" s="177"/>
      <c r="J279" s="285">
        <f t="shared" si="10"/>
        <v>0</v>
      </c>
      <c r="K279" s="286"/>
    </row>
    <row r="280" spans="1:11" x14ac:dyDescent="0.3">
      <c r="A280" s="179" t="s">
        <v>1153</v>
      </c>
      <c r="B280" s="284" t="s">
        <v>10</v>
      </c>
      <c r="C280" s="202">
        <v>81938</v>
      </c>
      <c r="D280" s="47" t="s">
        <v>298</v>
      </c>
      <c r="E280" s="48">
        <v>25</v>
      </c>
      <c r="F280" s="284" t="s">
        <v>1517</v>
      </c>
      <c r="G280" s="267"/>
      <c r="H280" s="267"/>
      <c r="I280" s="177"/>
      <c r="J280" s="285">
        <f t="shared" si="10"/>
        <v>0</v>
      </c>
      <c r="K280" s="286"/>
    </row>
    <row r="281" spans="1:11" ht="46.8" x14ac:dyDescent="0.3">
      <c r="A281" s="179" t="s">
        <v>1154</v>
      </c>
      <c r="B281" s="284" t="s">
        <v>70</v>
      </c>
      <c r="C281" s="204">
        <v>89591</v>
      </c>
      <c r="D281" s="47" t="s">
        <v>1477</v>
      </c>
      <c r="E281" s="48">
        <v>9</v>
      </c>
      <c r="F281" s="284" t="s">
        <v>1517</v>
      </c>
      <c r="G281" s="305"/>
      <c r="H281" s="306"/>
      <c r="I281" s="177"/>
      <c r="J281" s="285">
        <f t="shared" si="10"/>
        <v>0</v>
      </c>
      <c r="K281" s="286"/>
    </row>
    <row r="282" spans="1:11" ht="46.8" x14ac:dyDescent="0.3">
      <c r="A282" s="179" t="s">
        <v>1155</v>
      </c>
      <c r="B282" s="284" t="s">
        <v>70</v>
      </c>
      <c r="C282" s="204">
        <v>89590</v>
      </c>
      <c r="D282" s="47" t="s">
        <v>1481</v>
      </c>
      <c r="E282" s="48">
        <v>14</v>
      </c>
      <c r="F282" s="284" t="s">
        <v>1517</v>
      </c>
      <c r="G282" s="305"/>
      <c r="H282" s="306"/>
      <c r="I282" s="177"/>
      <c r="J282" s="285">
        <f t="shared" si="10"/>
        <v>0</v>
      </c>
      <c r="K282" s="286"/>
    </row>
    <row r="283" spans="1:11" x14ac:dyDescent="0.3">
      <c r="A283" s="179" t="s">
        <v>1156</v>
      </c>
      <c r="B283" s="284" t="s">
        <v>10</v>
      </c>
      <c r="C283" s="202">
        <v>81960</v>
      </c>
      <c r="D283" s="47" t="s">
        <v>299</v>
      </c>
      <c r="E283" s="48"/>
      <c r="F283" s="44"/>
      <c r="G283" s="267"/>
      <c r="H283" s="267"/>
      <c r="I283" s="177"/>
      <c r="J283" s="285"/>
      <c r="K283" s="286"/>
    </row>
    <row r="284" spans="1:11" x14ac:dyDescent="0.3">
      <c r="A284" s="179" t="s">
        <v>1218</v>
      </c>
      <c r="B284" s="284" t="s">
        <v>10</v>
      </c>
      <c r="C284" s="202">
        <v>81970</v>
      </c>
      <c r="D284" s="47" t="s">
        <v>300</v>
      </c>
      <c r="E284" s="48">
        <v>12</v>
      </c>
      <c r="F284" s="284" t="s">
        <v>1517</v>
      </c>
      <c r="G284" s="267"/>
      <c r="H284" s="267"/>
      <c r="I284" s="177"/>
      <c r="J284" s="285">
        <f t="shared" si="10"/>
        <v>0</v>
      </c>
      <c r="K284" s="286"/>
    </row>
    <row r="285" spans="1:11" x14ac:dyDescent="0.3">
      <c r="A285" s="179" t="s">
        <v>1219</v>
      </c>
      <c r="B285" s="284" t="s">
        <v>10</v>
      </c>
      <c r="C285" s="202">
        <v>81971</v>
      </c>
      <c r="D285" s="47" t="s">
        <v>301</v>
      </c>
      <c r="E285" s="48">
        <v>12</v>
      </c>
      <c r="F285" s="284" t="s">
        <v>1517</v>
      </c>
      <c r="G285" s="267"/>
      <c r="H285" s="267"/>
      <c r="I285" s="177"/>
      <c r="J285" s="285">
        <f t="shared" si="10"/>
        <v>0</v>
      </c>
      <c r="K285" s="286"/>
    </row>
    <row r="286" spans="1:11" x14ac:dyDescent="0.3">
      <c r="A286" s="179" t="s">
        <v>1220</v>
      </c>
      <c r="B286" s="284" t="s">
        <v>10</v>
      </c>
      <c r="C286" s="202">
        <v>81972</v>
      </c>
      <c r="D286" s="47" t="s">
        <v>302</v>
      </c>
      <c r="E286" s="48">
        <v>4</v>
      </c>
      <c r="F286" s="284" t="s">
        <v>1517</v>
      </c>
      <c r="G286" s="267"/>
      <c r="H286" s="267"/>
      <c r="I286" s="177"/>
      <c r="J286" s="285">
        <f t="shared" si="10"/>
        <v>0</v>
      </c>
      <c r="K286" s="286"/>
    </row>
    <row r="287" spans="1:11" x14ac:dyDescent="0.3">
      <c r="A287" s="179" t="s">
        <v>1221</v>
      </c>
      <c r="B287" s="284" t="s">
        <v>10</v>
      </c>
      <c r="C287" s="284">
        <v>81973</v>
      </c>
      <c r="D287" s="32" t="s">
        <v>303</v>
      </c>
      <c r="E287" s="40">
        <v>12</v>
      </c>
      <c r="F287" s="284" t="s">
        <v>1517</v>
      </c>
      <c r="G287" s="268"/>
      <c r="H287" s="268"/>
      <c r="I287" s="177"/>
      <c r="J287" s="285">
        <f t="shared" si="10"/>
        <v>0</v>
      </c>
      <c r="K287" s="286"/>
    </row>
    <row r="288" spans="1:11" x14ac:dyDescent="0.3">
      <c r="A288" s="179" t="s">
        <v>1222</v>
      </c>
      <c r="B288" s="284" t="s">
        <v>10</v>
      </c>
      <c r="C288" s="205">
        <v>81974</v>
      </c>
      <c r="D288" s="42" t="s">
        <v>304</v>
      </c>
      <c r="E288" s="43">
        <v>8</v>
      </c>
      <c r="F288" s="284" t="s">
        <v>1517</v>
      </c>
      <c r="G288" s="17"/>
      <c r="H288" s="18"/>
      <c r="I288" s="177"/>
      <c r="J288" s="285">
        <f t="shared" si="10"/>
        <v>0</v>
      </c>
      <c r="K288" s="286"/>
    </row>
    <row r="289" spans="1:11" x14ac:dyDescent="0.3">
      <c r="A289" s="179" t="s">
        <v>1223</v>
      </c>
      <c r="B289" s="284" t="s">
        <v>10</v>
      </c>
      <c r="C289" s="284">
        <v>81975</v>
      </c>
      <c r="D289" s="32" t="s">
        <v>305</v>
      </c>
      <c r="E289" s="40">
        <v>28</v>
      </c>
      <c r="F289" s="284" t="s">
        <v>1517</v>
      </c>
      <c r="G289" s="268"/>
      <c r="H289" s="268"/>
      <c r="I289" s="177"/>
      <c r="J289" s="285">
        <f t="shared" si="10"/>
        <v>0</v>
      </c>
      <c r="K289" s="286"/>
    </row>
    <row r="290" spans="1:11" x14ac:dyDescent="0.3">
      <c r="A290" s="179" t="s">
        <v>1224</v>
      </c>
      <c r="B290" s="284" t="s">
        <v>10</v>
      </c>
      <c r="C290" s="284">
        <v>82050</v>
      </c>
      <c r="D290" s="32" t="s">
        <v>307</v>
      </c>
      <c r="E290" s="40"/>
      <c r="F290" s="284"/>
      <c r="G290" s="268"/>
      <c r="H290" s="268"/>
      <c r="I290" s="177"/>
      <c r="J290" s="285"/>
      <c r="K290" s="286"/>
    </row>
    <row r="291" spans="1:11" x14ac:dyDescent="0.3">
      <c r="A291" s="179" t="s">
        <v>1225</v>
      </c>
      <c r="B291" s="284" t="s">
        <v>10</v>
      </c>
      <c r="C291" s="200">
        <v>82053</v>
      </c>
      <c r="D291" s="42" t="s">
        <v>306</v>
      </c>
      <c r="E291" s="48">
        <v>26</v>
      </c>
      <c r="F291" s="284" t="s">
        <v>1517</v>
      </c>
      <c r="G291" s="17"/>
      <c r="H291" s="18"/>
      <c r="I291" s="177"/>
      <c r="J291" s="285">
        <f t="shared" si="10"/>
        <v>0</v>
      </c>
      <c r="K291" s="286"/>
    </row>
    <row r="292" spans="1:11" x14ac:dyDescent="0.3">
      <c r="A292" s="179" t="s">
        <v>1226</v>
      </c>
      <c r="B292" s="284" t="s">
        <v>10</v>
      </c>
      <c r="C292" s="284">
        <v>82100</v>
      </c>
      <c r="D292" s="32" t="s">
        <v>308</v>
      </c>
      <c r="E292" s="40"/>
      <c r="F292" s="284"/>
      <c r="G292" s="268"/>
      <c r="H292" s="268"/>
      <c r="I292" s="177"/>
      <c r="J292" s="285"/>
      <c r="K292" s="286"/>
    </row>
    <row r="293" spans="1:11" x14ac:dyDescent="0.3">
      <c r="A293" s="179" t="s">
        <v>1227</v>
      </c>
      <c r="B293" s="284" t="s">
        <v>10</v>
      </c>
      <c r="C293" s="200">
        <v>82101</v>
      </c>
      <c r="D293" s="42" t="s">
        <v>309</v>
      </c>
      <c r="E293" s="43">
        <v>14</v>
      </c>
      <c r="F293" s="284" t="s">
        <v>1517</v>
      </c>
      <c r="G293" s="17"/>
      <c r="H293" s="18"/>
      <c r="I293" s="177"/>
      <c r="J293" s="285">
        <f t="shared" si="10"/>
        <v>0</v>
      </c>
      <c r="K293" s="286"/>
    </row>
    <row r="294" spans="1:11" x14ac:dyDescent="0.3">
      <c r="A294" s="179" t="s">
        <v>1230</v>
      </c>
      <c r="B294" s="284" t="s">
        <v>10</v>
      </c>
      <c r="C294" s="284">
        <v>82102</v>
      </c>
      <c r="D294" s="32" t="s">
        <v>310</v>
      </c>
      <c r="E294" s="40">
        <v>5</v>
      </c>
      <c r="F294" s="284" t="s">
        <v>1517</v>
      </c>
      <c r="G294" s="268"/>
      <c r="H294" s="268"/>
      <c r="I294" s="177"/>
      <c r="J294" s="285">
        <f t="shared" si="10"/>
        <v>0</v>
      </c>
      <c r="K294" s="286"/>
    </row>
    <row r="295" spans="1:11" x14ac:dyDescent="0.3">
      <c r="A295" s="179" t="s">
        <v>1231</v>
      </c>
      <c r="B295" s="284" t="s">
        <v>10</v>
      </c>
      <c r="C295" s="200">
        <v>82103</v>
      </c>
      <c r="D295" s="42" t="s">
        <v>311</v>
      </c>
      <c r="E295" s="43">
        <v>2</v>
      </c>
      <c r="F295" s="284" t="s">
        <v>1517</v>
      </c>
      <c r="G295" s="17"/>
      <c r="H295" s="18"/>
      <c r="I295" s="177"/>
      <c r="J295" s="285">
        <f t="shared" si="10"/>
        <v>0</v>
      </c>
      <c r="K295" s="286"/>
    </row>
    <row r="296" spans="1:11" x14ac:dyDescent="0.3">
      <c r="A296" s="179" t="s">
        <v>1232</v>
      </c>
      <c r="B296" s="284" t="s">
        <v>10</v>
      </c>
      <c r="C296" s="200">
        <v>82200</v>
      </c>
      <c r="D296" s="42" t="s">
        <v>312</v>
      </c>
      <c r="E296" s="43"/>
      <c r="F296" s="43"/>
      <c r="G296" s="17"/>
      <c r="H296" s="18"/>
      <c r="I296" s="177"/>
      <c r="J296" s="285"/>
      <c r="K296" s="286"/>
    </row>
    <row r="297" spans="1:11" x14ac:dyDescent="0.3">
      <c r="A297" s="179" t="s">
        <v>1233</v>
      </c>
      <c r="B297" s="284" t="s">
        <v>10</v>
      </c>
      <c r="C297" s="200">
        <v>82201</v>
      </c>
      <c r="D297" s="42" t="s">
        <v>313</v>
      </c>
      <c r="E297" s="43">
        <v>1</v>
      </c>
      <c r="F297" s="284" t="s">
        <v>1517</v>
      </c>
      <c r="G297" s="17"/>
      <c r="H297" s="18"/>
      <c r="I297" s="177"/>
      <c r="J297" s="285">
        <f t="shared" si="10"/>
        <v>0</v>
      </c>
      <c r="K297" s="286"/>
    </row>
    <row r="298" spans="1:11" x14ac:dyDescent="0.3">
      <c r="A298" s="179" t="s">
        <v>1255</v>
      </c>
      <c r="B298" s="284" t="s">
        <v>10</v>
      </c>
      <c r="C298" s="284">
        <v>82230</v>
      </c>
      <c r="D298" s="32" t="s">
        <v>314</v>
      </c>
      <c r="E298" s="40">
        <v>16</v>
      </c>
      <c r="F298" s="284" t="s">
        <v>1517</v>
      </c>
      <c r="G298" s="268"/>
      <c r="H298" s="268"/>
      <c r="I298" s="177"/>
      <c r="J298" s="285">
        <f t="shared" si="10"/>
        <v>0</v>
      </c>
      <c r="K298" s="286"/>
    </row>
    <row r="299" spans="1:11" x14ac:dyDescent="0.3">
      <c r="A299" s="179" t="s">
        <v>1256</v>
      </c>
      <c r="B299" s="284" t="s">
        <v>10</v>
      </c>
      <c r="C299" s="200">
        <v>82232</v>
      </c>
      <c r="D299" s="42" t="s">
        <v>315</v>
      </c>
      <c r="E299" s="43">
        <v>11</v>
      </c>
      <c r="F299" s="284" t="s">
        <v>1517</v>
      </c>
      <c r="G299" s="17"/>
      <c r="H299" s="18"/>
      <c r="I299" s="177"/>
      <c r="J299" s="285">
        <f t="shared" si="10"/>
        <v>0</v>
      </c>
      <c r="K299" s="286"/>
    </row>
    <row r="300" spans="1:11" x14ac:dyDescent="0.3">
      <c r="A300" s="179" t="s">
        <v>1257</v>
      </c>
      <c r="B300" s="284" t="s">
        <v>10</v>
      </c>
      <c r="C300" s="200">
        <v>82300</v>
      </c>
      <c r="D300" s="42" t="s">
        <v>316</v>
      </c>
      <c r="E300" s="43"/>
      <c r="F300" s="44"/>
      <c r="G300" s="267"/>
      <c r="H300" s="267"/>
      <c r="I300" s="177"/>
      <c r="J300" s="285"/>
      <c r="K300" s="286"/>
    </row>
    <row r="301" spans="1:11" x14ac:dyDescent="0.3">
      <c r="A301" s="179" t="s">
        <v>1258</v>
      </c>
      <c r="B301" s="284" t="s">
        <v>10</v>
      </c>
      <c r="C301" s="284">
        <v>82301</v>
      </c>
      <c r="D301" s="32" t="s">
        <v>317</v>
      </c>
      <c r="E301" s="40">
        <v>65.290000000000006</v>
      </c>
      <c r="F301" s="284" t="s">
        <v>31</v>
      </c>
      <c r="G301" s="268"/>
      <c r="H301" s="268"/>
      <c r="I301" s="177"/>
      <c r="J301" s="285">
        <f t="shared" si="10"/>
        <v>0</v>
      </c>
      <c r="K301" s="286"/>
    </row>
    <row r="302" spans="1:11" x14ac:dyDescent="0.3">
      <c r="A302" s="179" t="s">
        <v>1259</v>
      </c>
      <c r="B302" s="284" t="s">
        <v>10</v>
      </c>
      <c r="C302" s="200">
        <v>82302</v>
      </c>
      <c r="D302" s="42" t="s">
        <v>318</v>
      </c>
      <c r="E302" s="43">
        <f>64.8+52.4</f>
        <v>117.19999999999999</v>
      </c>
      <c r="F302" s="44" t="s">
        <v>319</v>
      </c>
      <c r="G302" s="17"/>
      <c r="H302" s="18"/>
      <c r="I302" s="177"/>
      <c r="J302" s="285">
        <f t="shared" si="10"/>
        <v>0</v>
      </c>
      <c r="K302" s="286"/>
    </row>
    <row r="303" spans="1:11" x14ac:dyDescent="0.3">
      <c r="A303" s="179" t="s">
        <v>1353</v>
      </c>
      <c r="B303" s="284" t="s">
        <v>10</v>
      </c>
      <c r="C303" s="203">
        <v>82303</v>
      </c>
      <c r="D303" s="47" t="s">
        <v>320</v>
      </c>
      <c r="E303" s="48">
        <f>47.71+34.37+2.58</f>
        <v>84.66</v>
      </c>
      <c r="F303" s="44" t="s">
        <v>319</v>
      </c>
      <c r="G303" s="267"/>
      <c r="H303" s="19"/>
      <c r="I303" s="177"/>
      <c r="J303" s="285">
        <f t="shared" si="10"/>
        <v>0</v>
      </c>
      <c r="K303" s="286"/>
    </row>
    <row r="304" spans="1:11" x14ac:dyDescent="0.3">
      <c r="A304" s="179" t="s">
        <v>1354</v>
      </c>
      <c r="B304" s="284" t="s">
        <v>10</v>
      </c>
      <c r="C304" s="203">
        <v>82304</v>
      </c>
      <c r="D304" s="47" t="s">
        <v>321</v>
      </c>
      <c r="E304" s="48">
        <f>337.71+123.91</f>
        <v>461.62</v>
      </c>
      <c r="F304" s="44" t="s">
        <v>319</v>
      </c>
      <c r="G304" s="267"/>
      <c r="H304" s="267"/>
      <c r="I304" s="177"/>
      <c r="J304" s="285">
        <f t="shared" si="10"/>
        <v>0</v>
      </c>
      <c r="K304" s="286"/>
    </row>
    <row r="305" spans="1:11" x14ac:dyDescent="0.3">
      <c r="A305" s="179" t="s">
        <v>1420</v>
      </c>
      <c r="B305" s="284" t="s">
        <v>10</v>
      </c>
      <c r="C305" s="203">
        <v>82331</v>
      </c>
      <c r="D305" s="47" t="s">
        <v>1476</v>
      </c>
      <c r="E305" s="48">
        <v>656.2</v>
      </c>
      <c r="F305" s="44" t="s">
        <v>319</v>
      </c>
      <c r="G305" s="267"/>
      <c r="H305" s="267"/>
      <c r="I305" s="177"/>
      <c r="J305" s="285">
        <f t="shared" si="10"/>
        <v>0</v>
      </c>
      <c r="K305" s="286"/>
    </row>
    <row r="306" spans="1:11" x14ac:dyDescent="0.3">
      <c r="A306" s="179" t="s">
        <v>1421</v>
      </c>
      <c r="B306" s="289" t="s">
        <v>467</v>
      </c>
      <c r="C306" s="289"/>
      <c r="D306" s="47" t="s">
        <v>1574</v>
      </c>
      <c r="E306" s="48">
        <v>9</v>
      </c>
      <c r="F306" s="284" t="s">
        <v>1517</v>
      </c>
      <c r="G306" s="290"/>
      <c r="H306" s="290"/>
      <c r="I306" s="177"/>
      <c r="J306" s="285">
        <f t="shared" si="10"/>
        <v>0</v>
      </c>
      <c r="K306" s="286"/>
    </row>
    <row r="307" spans="1:11" x14ac:dyDescent="0.3">
      <c r="A307" s="179" t="s">
        <v>1422</v>
      </c>
      <c r="B307" s="289" t="s">
        <v>467</v>
      </c>
      <c r="C307" s="289"/>
      <c r="D307" s="47" t="s">
        <v>1575</v>
      </c>
      <c r="E307" s="48">
        <v>8</v>
      </c>
      <c r="F307" s="284" t="s">
        <v>1517</v>
      </c>
      <c r="G307" s="290"/>
      <c r="H307" s="290"/>
      <c r="I307" s="177"/>
      <c r="J307" s="285">
        <f t="shared" si="10"/>
        <v>0</v>
      </c>
      <c r="K307" s="286"/>
    </row>
    <row r="308" spans="1:11" x14ac:dyDescent="0.3">
      <c r="A308" s="179" t="s">
        <v>1423</v>
      </c>
      <c r="B308" s="289" t="s">
        <v>467</v>
      </c>
      <c r="C308" s="289"/>
      <c r="D308" s="47" t="s">
        <v>1576</v>
      </c>
      <c r="E308" s="48">
        <v>1</v>
      </c>
      <c r="F308" s="284" t="s">
        <v>1517</v>
      </c>
      <c r="G308" s="290"/>
      <c r="H308" s="290"/>
      <c r="I308" s="177"/>
      <c r="J308" s="285">
        <f t="shared" si="10"/>
        <v>0</v>
      </c>
      <c r="K308" s="286"/>
    </row>
    <row r="309" spans="1:11" s="52" customFormat="1" ht="31.2" x14ac:dyDescent="0.3">
      <c r="A309" s="179" t="s">
        <v>1424</v>
      </c>
      <c r="B309" s="284" t="s">
        <v>1560</v>
      </c>
      <c r="C309" s="284" t="s">
        <v>1448</v>
      </c>
      <c r="D309" s="47" t="s">
        <v>1449</v>
      </c>
      <c r="E309" s="48">
        <v>1</v>
      </c>
      <c r="F309" s="284" t="s">
        <v>1517</v>
      </c>
      <c r="G309" s="305"/>
      <c r="H309" s="306"/>
      <c r="I309" s="177"/>
      <c r="J309" s="285">
        <f t="shared" si="10"/>
        <v>0</v>
      </c>
      <c r="K309" s="286"/>
    </row>
    <row r="310" spans="1:11" s="52" customFormat="1" x14ac:dyDescent="0.3">
      <c r="A310" s="179" t="s">
        <v>1425</v>
      </c>
      <c r="B310" s="289" t="s">
        <v>1301</v>
      </c>
      <c r="C310" s="289"/>
      <c r="D310" s="47" t="s">
        <v>1254</v>
      </c>
      <c r="E310" s="48">
        <v>1</v>
      </c>
      <c r="F310" s="284" t="s">
        <v>1517</v>
      </c>
      <c r="G310" s="290"/>
      <c r="H310" s="290"/>
      <c r="I310" s="177"/>
      <c r="J310" s="285">
        <f t="shared" si="10"/>
        <v>0</v>
      </c>
      <c r="K310" s="286"/>
    </row>
    <row r="311" spans="1:11" s="52" customFormat="1" x14ac:dyDescent="0.3">
      <c r="A311" s="179" t="s">
        <v>1426</v>
      </c>
      <c r="B311" s="289" t="s">
        <v>1302</v>
      </c>
      <c r="C311" s="289"/>
      <c r="D311" s="47" t="s">
        <v>1303</v>
      </c>
      <c r="E311" s="48">
        <v>2</v>
      </c>
      <c r="F311" s="284" t="s">
        <v>1517</v>
      </c>
      <c r="G311" s="290"/>
      <c r="H311" s="290"/>
      <c r="I311" s="177"/>
      <c r="J311" s="285">
        <f t="shared" si="10"/>
        <v>0</v>
      </c>
      <c r="K311" s="286"/>
    </row>
    <row r="312" spans="1:11" s="52" customFormat="1" x14ac:dyDescent="0.3">
      <c r="A312" s="179" t="s">
        <v>1427</v>
      </c>
      <c r="B312" s="289" t="s">
        <v>1304</v>
      </c>
      <c r="C312" s="289"/>
      <c r="D312" s="47" t="s">
        <v>1328</v>
      </c>
      <c r="E312" s="48">
        <v>3</v>
      </c>
      <c r="F312" s="284" t="s">
        <v>1517</v>
      </c>
      <c r="G312" s="290"/>
      <c r="H312" s="290"/>
      <c r="I312" s="177"/>
      <c r="J312" s="285">
        <f t="shared" si="10"/>
        <v>0</v>
      </c>
      <c r="K312" s="286"/>
    </row>
    <row r="313" spans="1:11" s="52" customFormat="1" x14ac:dyDescent="0.3">
      <c r="A313" s="179" t="s">
        <v>1428</v>
      </c>
      <c r="B313" s="289" t="s">
        <v>1306</v>
      </c>
      <c r="C313" s="289"/>
      <c r="D313" s="47" t="s">
        <v>1330</v>
      </c>
      <c r="E313" s="48">
        <v>2</v>
      </c>
      <c r="F313" s="284" t="s">
        <v>1517</v>
      </c>
      <c r="G313" s="290"/>
      <c r="H313" s="290"/>
      <c r="I313" s="177"/>
      <c r="J313" s="285">
        <f t="shared" si="10"/>
        <v>0</v>
      </c>
      <c r="K313" s="286"/>
    </row>
    <row r="314" spans="1:11" s="52" customFormat="1" x14ac:dyDescent="0.3">
      <c r="A314" s="179" t="s">
        <v>1429</v>
      </c>
      <c r="B314" s="289" t="s">
        <v>1307</v>
      </c>
      <c r="C314" s="289"/>
      <c r="D314" s="47" t="s">
        <v>1329</v>
      </c>
      <c r="E314" s="48">
        <v>2</v>
      </c>
      <c r="F314" s="284" t="s">
        <v>1517</v>
      </c>
      <c r="G314" s="290"/>
      <c r="H314" s="290"/>
      <c r="I314" s="177"/>
      <c r="J314" s="285">
        <f t="shared" si="10"/>
        <v>0</v>
      </c>
      <c r="K314" s="286"/>
    </row>
    <row r="315" spans="1:11" x14ac:dyDescent="0.3">
      <c r="A315" s="179" t="s">
        <v>1430</v>
      </c>
      <c r="B315" s="34" t="s">
        <v>10</v>
      </c>
      <c r="C315" s="206">
        <v>85056</v>
      </c>
      <c r="D315" s="20" t="s">
        <v>1397</v>
      </c>
      <c r="E315" s="33">
        <v>3</v>
      </c>
      <c r="F315" s="284" t="s">
        <v>1517</v>
      </c>
      <c r="G315" s="271"/>
      <c r="H315" s="271"/>
      <c r="I315" s="177"/>
      <c r="J315" s="285">
        <f t="shared" si="10"/>
        <v>0</v>
      </c>
      <c r="K315" s="286"/>
    </row>
    <row r="316" spans="1:11" x14ac:dyDescent="0.3">
      <c r="A316" s="179" t="s">
        <v>1431</v>
      </c>
      <c r="B316" s="34" t="s">
        <v>10</v>
      </c>
      <c r="C316" s="206">
        <v>85027</v>
      </c>
      <c r="D316" s="50" t="s">
        <v>1398</v>
      </c>
      <c r="E316" s="40">
        <v>1</v>
      </c>
      <c r="F316" s="284" t="s">
        <v>1517</v>
      </c>
      <c r="G316" s="271"/>
      <c r="H316" s="271"/>
      <c r="I316" s="177"/>
      <c r="J316" s="285">
        <f t="shared" si="10"/>
        <v>0</v>
      </c>
      <c r="K316" s="286"/>
    </row>
    <row r="317" spans="1:11" ht="31.2" x14ac:dyDescent="0.3">
      <c r="A317" s="179" t="s">
        <v>1432</v>
      </c>
      <c r="B317" s="284" t="s">
        <v>10</v>
      </c>
      <c r="C317" s="207">
        <v>85011</v>
      </c>
      <c r="D317" s="50" t="s">
        <v>1571</v>
      </c>
      <c r="E317" s="40">
        <v>4</v>
      </c>
      <c r="F317" s="284" t="s">
        <v>1517</v>
      </c>
      <c r="G317" s="271"/>
      <c r="H317" s="271"/>
      <c r="I317" s="177"/>
      <c r="J317" s="285">
        <f t="shared" si="10"/>
        <v>0</v>
      </c>
      <c r="K317" s="286"/>
    </row>
    <row r="318" spans="1:11" ht="31.2" x14ac:dyDescent="0.3">
      <c r="A318" s="179" t="s">
        <v>1433</v>
      </c>
      <c r="B318" s="340" t="s">
        <v>467</v>
      </c>
      <c r="C318" s="340"/>
      <c r="D318" s="35" t="s">
        <v>1399</v>
      </c>
      <c r="E318" s="40">
        <v>4</v>
      </c>
      <c r="F318" s="284" t="s">
        <v>1517</v>
      </c>
      <c r="G318" s="337"/>
      <c r="H318" s="337"/>
      <c r="I318" s="177"/>
      <c r="J318" s="285">
        <f t="shared" si="10"/>
        <v>0</v>
      </c>
      <c r="K318" s="286"/>
    </row>
    <row r="319" spans="1:11" x14ac:dyDescent="0.3">
      <c r="A319" s="179" t="s">
        <v>1434</v>
      </c>
      <c r="B319" s="284" t="s">
        <v>10</v>
      </c>
      <c r="C319" s="207">
        <v>85025</v>
      </c>
      <c r="D319" s="50" t="s">
        <v>1400</v>
      </c>
      <c r="E319" s="40">
        <v>4</v>
      </c>
      <c r="F319" s="284" t="s">
        <v>1517</v>
      </c>
      <c r="G319" s="271"/>
      <c r="H319" s="271"/>
      <c r="I319" s="177"/>
      <c r="J319" s="285">
        <f t="shared" si="10"/>
        <v>0</v>
      </c>
      <c r="K319" s="286"/>
    </row>
    <row r="320" spans="1:11" x14ac:dyDescent="0.3">
      <c r="A320" s="179" t="s">
        <v>1435</v>
      </c>
      <c r="B320" s="284" t="s">
        <v>10</v>
      </c>
      <c r="C320" s="207">
        <v>85023</v>
      </c>
      <c r="D320" s="50" t="s">
        <v>1401</v>
      </c>
      <c r="E320" s="40">
        <v>4</v>
      </c>
      <c r="F320" s="284" t="s">
        <v>1517</v>
      </c>
      <c r="G320" s="271"/>
      <c r="H320" s="271"/>
      <c r="I320" s="177"/>
      <c r="J320" s="285">
        <f t="shared" si="10"/>
        <v>0</v>
      </c>
      <c r="K320" s="286"/>
    </row>
    <row r="321" spans="1:11" x14ac:dyDescent="0.3">
      <c r="A321" s="179" t="s">
        <v>1436</v>
      </c>
      <c r="B321" s="284" t="s">
        <v>10</v>
      </c>
      <c r="C321" s="207">
        <v>85047</v>
      </c>
      <c r="D321" s="50" t="s">
        <v>1402</v>
      </c>
      <c r="E321" s="40">
        <v>4</v>
      </c>
      <c r="F321" s="284" t="s">
        <v>1517</v>
      </c>
      <c r="G321" s="271"/>
      <c r="H321" s="271"/>
      <c r="I321" s="177"/>
      <c r="J321" s="285">
        <f t="shared" si="10"/>
        <v>0</v>
      </c>
      <c r="K321" s="286"/>
    </row>
    <row r="322" spans="1:11" x14ac:dyDescent="0.3">
      <c r="A322" s="179" t="s">
        <v>1437</v>
      </c>
      <c r="B322" s="289" t="s">
        <v>467</v>
      </c>
      <c r="C322" s="289"/>
      <c r="D322" s="53" t="s">
        <v>1404</v>
      </c>
      <c r="E322" s="40">
        <v>4</v>
      </c>
      <c r="F322" s="284" t="s">
        <v>1517</v>
      </c>
      <c r="G322" s="337"/>
      <c r="H322" s="337"/>
      <c r="I322" s="177"/>
      <c r="J322" s="285">
        <f t="shared" si="10"/>
        <v>0</v>
      </c>
      <c r="K322" s="286"/>
    </row>
    <row r="323" spans="1:11" x14ac:dyDescent="0.3">
      <c r="A323" s="179" t="s">
        <v>1438</v>
      </c>
      <c r="B323" s="284" t="s">
        <v>10</v>
      </c>
      <c r="C323" s="207">
        <v>85031</v>
      </c>
      <c r="D323" s="53" t="s">
        <v>1405</v>
      </c>
      <c r="E323" s="40">
        <v>4</v>
      </c>
      <c r="F323" s="284" t="s">
        <v>1517</v>
      </c>
      <c r="G323" s="271"/>
      <c r="H323" s="271"/>
      <c r="I323" s="177"/>
      <c r="J323" s="285">
        <f t="shared" si="10"/>
        <v>0</v>
      </c>
      <c r="K323" s="286"/>
    </row>
    <row r="324" spans="1:11" x14ac:dyDescent="0.3">
      <c r="A324" s="179" t="s">
        <v>1439</v>
      </c>
      <c r="B324" s="34" t="s">
        <v>10</v>
      </c>
      <c r="C324" s="206">
        <v>80910</v>
      </c>
      <c r="D324" s="50" t="s">
        <v>1406</v>
      </c>
      <c r="E324" s="40">
        <v>1</v>
      </c>
      <c r="F324" s="284" t="s">
        <v>1517</v>
      </c>
      <c r="G324" s="271"/>
      <c r="H324" s="271"/>
      <c r="I324" s="177"/>
      <c r="J324" s="285">
        <f t="shared" si="10"/>
        <v>0</v>
      </c>
      <c r="K324" s="286"/>
    </row>
    <row r="325" spans="1:11" x14ac:dyDescent="0.3">
      <c r="A325" s="179" t="s">
        <v>1440</v>
      </c>
      <c r="B325" s="34" t="s">
        <v>10</v>
      </c>
      <c r="C325" s="206">
        <v>85035</v>
      </c>
      <c r="D325" s="50" t="s">
        <v>1407</v>
      </c>
      <c r="E325" s="40">
        <v>4</v>
      </c>
      <c r="F325" s="284" t="s">
        <v>1517</v>
      </c>
      <c r="G325" s="271"/>
      <c r="H325" s="271"/>
      <c r="I325" s="177"/>
      <c r="J325" s="285">
        <f t="shared" si="10"/>
        <v>0</v>
      </c>
      <c r="K325" s="286"/>
    </row>
    <row r="326" spans="1:11" x14ac:dyDescent="0.3">
      <c r="A326" s="179" t="s">
        <v>1441</v>
      </c>
      <c r="B326" s="34" t="s">
        <v>10</v>
      </c>
      <c r="C326" s="206">
        <v>85079</v>
      </c>
      <c r="D326" s="50" t="s">
        <v>1408</v>
      </c>
      <c r="E326" s="40">
        <v>2</v>
      </c>
      <c r="F326" s="284" t="s">
        <v>1517</v>
      </c>
      <c r="G326" s="271"/>
      <c r="H326" s="271"/>
      <c r="I326" s="177"/>
      <c r="J326" s="285">
        <f t="shared" si="10"/>
        <v>0</v>
      </c>
      <c r="K326" s="286"/>
    </row>
    <row r="327" spans="1:11" x14ac:dyDescent="0.3">
      <c r="A327" s="179" t="s">
        <v>1442</v>
      </c>
      <c r="B327" s="34" t="s">
        <v>10</v>
      </c>
      <c r="C327" s="206">
        <v>81466</v>
      </c>
      <c r="D327" s="50" t="s">
        <v>1409</v>
      </c>
      <c r="E327" s="40">
        <v>4</v>
      </c>
      <c r="F327" s="284" t="s">
        <v>1517</v>
      </c>
      <c r="G327" s="271"/>
      <c r="H327" s="271"/>
      <c r="I327" s="177"/>
      <c r="J327" s="285">
        <f t="shared" si="10"/>
        <v>0</v>
      </c>
      <c r="K327" s="286"/>
    </row>
    <row r="328" spans="1:11" x14ac:dyDescent="0.3">
      <c r="A328" s="179" t="s">
        <v>1443</v>
      </c>
      <c r="B328" s="34" t="s">
        <v>10</v>
      </c>
      <c r="C328" s="206">
        <v>82378</v>
      </c>
      <c r="D328" s="50" t="s">
        <v>1410</v>
      </c>
      <c r="E328" s="33">
        <f>1.3+22.37+39.47+26.06+1.3</f>
        <v>90.5</v>
      </c>
      <c r="F328" s="54" t="s">
        <v>319</v>
      </c>
      <c r="G328" s="271"/>
      <c r="H328" s="271"/>
      <c r="I328" s="177"/>
      <c r="J328" s="285">
        <f t="shared" si="10"/>
        <v>0</v>
      </c>
      <c r="K328" s="286"/>
    </row>
    <row r="329" spans="1:11" x14ac:dyDescent="0.3">
      <c r="A329" s="179" t="s">
        <v>1444</v>
      </c>
      <c r="B329" s="34" t="s">
        <v>10</v>
      </c>
      <c r="C329" s="206">
        <v>85006</v>
      </c>
      <c r="D329" s="50" t="s">
        <v>1411</v>
      </c>
      <c r="E329" s="33">
        <v>6</v>
      </c>
      <c r="F329" s="284" t="s">
        <v>1517</v>
      </c>
      <c r="G329" s="271"/>
      <c r="H329" s="271"/>
      <c r="I329" s="177"/>
      <c r="J329" s="285">
        <f t="shared" si="10"/>
        <v>0</v>
      </c>
      <c r="K329" s="286"/>
    </row>
    <row r="330" spans="1:11" x14ac:dyDescent="0.3">
      <c r="A330" s="179" t="s">
        <v>1445</v>
      </c>
      <c r="B330" s="34" t="s">
        <v>10</v>
      </c>
      <c r="C330" s="208">
        <v>85003</v>
      </c>
      <c r="D330" s="238" t="s">
        <v>1572</v>
      </c>
      <c r="E330" s="33">
        <v>4</v>
      </c>
      <c r="F330" s="284" t="s">
        <v>1517</v>
      </c>
      <c r="G330" s="271"/>
      <c r="H330" s="271"/>
      <c r="I330" s="177"/>
      <c r="J330" s="285">
        <f t="shared" si="10"/>
        <v>0</v>
      </c>
      <c r="K330" s="286"/>
    </row>
    <row r="331" spans="1:11" x14ac:dyDescent="0.3">
      <c r="A331" s="179" t="s">
        <v>1446</v>
      </c>
      <c r="B331" s="34" t="s">
        <v>10</v>
      </c>
      <c r="C331" s="208">
        <v>71598</v>
      </c>
      <c r="D331" s="20" t="s">
        <v>1573</v>
      </c>
      <c r="E331" s="33">
        <v>6</v>
      </c>
      <c r="F331" s="284" t="s">
        <v>1517</v>
      </c>
      <c r="G331" s="271"/>
      <c r="H331" s="271"/>
      <c r="I331" s="177"/>
      <c r="J331" s="285">
        <f t="shared" si="10"/>
        <v>0</v>
      </c>
      <c r="K331" s="286"/>
    </row>
    <row r="332" spans="1:11" s="52" customFormat="1" x14ac:dyDescent="0.3">
      <c r="A332" s="179" t="s">
        <v>1447</v>
      </c>
      <c r="B332" s="289" t="s">
        <v>467</v>
      </c>
      <c r="C332" s="289"/>
      <c r="D332" s="239" t="s">
        <v>1412</v>
      </c>
      <c r="E332" s="40">
        <v>2</v>
      </c>
      <c r="F332" s="284" t="s">
        <v>1517</v>
      </c>
      <c r="G332" s="299"/>
      <c r="H332" s="299"/>
      <c r="I332" s="177"/>
      <c r="J332" s="285">
        <f t="shared" si="10"/>
        <v>0</v>
      </c>
      <c r="K332" s="286"/>
    </row>
    <row r="333" spans="1:11" s="52" customFormat="1" x14ac:dyDescent="0.3">
      <c r="A333" s="179" t="s">
        <v>1459</v>
      </c>
      <c r="B333" s="289" t="s">
        <v>467</v>
      </c>
      <c r="C333" s="289"/>
      <c r="D333" s="21" t="s">
        <v>1413</v>
      </c>
      <c r="E333" s="40">
        <v>6</v>
      </c>
      <c r="F333" s="284" t="s">
        <v>1517</v>
      </c>
      <c r="G333" s="299"/>
      <c r="H333" s="299"/>
      <c r="I333" s="177"/>
      <c r="J333" s="285">
        <f t="shared" si="10"/>
        <v>0</v>
      </c>
      <c r="K333" s="286"/>
    </row>
    <row r="334" spans="1:11" s="52" customFormat="1" x14ac:dyDescent="0.3">
      <c r="A334" s="179" t="s">
        <v>1482</v>
      </c>
      <c r="B334" s="289" t="s">
        <v>467</v>
      </c>
      <c r="C334" s="289"/>
      <c r="D334" s="21" t="s">
        <v>1414</v>
      </c>
      <c r="E334" s="40">
        <v>12</v>
      </c>
      <c r="F334" s="284" t="s">
        <v>1517</v>
      </c>
      <c r="G334" s="299"/>
      <c r="H334" s="299"/>
      <c r="I334" s="177"/>
      <c r="J334" s="285">
        <f t="shared" si="10"/>
        <v>0</v>
      </c>
      <c r="K334" s="286"/>
    </row>
    <row r="335" spans="1:11" s="52" customFormat="1" x14ac:dyDescent="0.3">
      <c r="A335" s="179" t="s">
        <v>1483</v>
      </c>
      <c r="B335" s="289" t="s">
        <v>467</v>
      </c>
      <c r="C335" s="289"/>
      <c r="D335" s="21" t="s">
        <v>1415</v>
      </c>
      <c r="E335" s="40">
        <v>4</v>
      </c>
      <c r="F335" s="284" t="s">
        <v>1517</v>
      </c>
      <c r="G335" s="299"/>
      <c r="H335" s="299"/>
      <c r="I335" s="177"/>
      <c r="J335" s="285">
        <f t="shared" si="10"/>
        <v>0</v>
      </c>
      <c r="K335" s="286"/>
    </row>
    <row r="336" spans="1:11" s="52" customFormat="1" x14ac:dyDescent="0.3">
      <c r="A336" s="179" t="s">
        <v>1484</v>
      </c>
      <c r="B336" s="289" t="s">
        <v>467</v>
      </c>
      <c r="C336" s="289"/>
      <c r="D336" s="21" t="s">
        <v>1416</v>
      </c>
      <c r="E336" s="40">
        <v>6</v>
      </c>
      <c r="F336" s="284" t="s">
        <v>1517</v>
      </c>
      <c r="G336" s="299"/>
      <c r="H336" s="299"/>
      <c r="I336" s="177"/>
      <c r="J336" s="285">
        <f t="shared" si="10"/>
        <v>0</v>
      </c>
      <c r="K336" s="286"/>
    </row>
    <row r="337" spans="1:11" s="52" customFormat="1" x14ac:dyDescent="0.3">
      <c r="A337" s="179" t="s">
        <v>1485</v>
      </c>
      <c r="B337" s="289" t="s">
        <v>467</v>
      </c>
      <c r="C337" s="289"/>
      <c r="D337" s="21" t="s">
        <v>1417</v>
      </c>
      <c r="E337" s="40">
        <v>8</v>
      </c>
      <c r="F337" s="284" t="s">
        <v>1517</v>
      </c>
      <c r="G337" s="299"/>
      <c r="H337" s="299"/>
      <c r="I337" s="177"/>
      <c r="J337" s="285">
        <f t="shared" si="10"/>
        <v>0</v>
      </c>
      <c r="K337" s="286"/>
    </row>
    <row r="338" spans="1:11" x14ac:dyDescent="0.3">
      <c r="A338" s="179" t="s">
        <v>1565</v>
      </c>
      <c r="B338" s="34" t="s">
        <v>10</v>
      </c>
      <c r="C338" s="206">
        <v>72338</v>
      </c>
      <c r="D338" s="50" t="s">
        <v>1418</v>
      </c>
      <c r="E338" s="40">
        <v>5</v>
      </c>
      <c r="F338" s="284" t="s">
        <v>1517</v>
      </c>
      <c r="G338" s="271"/>
      <c r="H338" s="271"/>
      <c r="I338" s="177"/>
      <c r="J338" s="285">
        <f t="shared" si="10"/>
        <v>0</v>
      </c>
      <c r="K338" s="286"/>
    </row>
    <row r="339" spans="1:11" ht="16.2" thickBot="1" x14ac:dyDescent="0.35">
      <c r="A339" s="179" t="s">
        <v>1570</v>
      </c>
      <c r="B339" s="38" t="s">
        <v>10</v>
      </c>
      <c r="C339" s="209">
        <v>85041</v>
      </c>
      <c r="D339" s="22" t="s">
        <v>1419</v>
      </c>
      <c r="E339" s="55">
        <v>1</v>
      </c>
      <c r="F339" s="284" t="s">
        <v>1517</v>
      </c>
      <c r="G339" s="23"/>
      <c r="H339" s="23"/>
      <c r="I339" s="177"/>
      <c r="J339" s="285">
        <f>(G339+H339)*E339*1.2665</f>
        <v>0</v>
      </c>
      <c r="K339" s="286"/>
    </row>
    <row r="340" spans="1:11" ht="16.2" thickBot="1" x14ac:dyDescent="0.35">
      <c r="A340" s="322" t="s">
        <v>7</v>
      </c>
      <c r="B340" s="323"/>
      <c r="C340" s="323"/>
      <c r="D340" s="323"/>
      <c r="E340" s="323"/>
      <c r="F340" s="323"/>
      <c r="G340" s="323"/>
      <c r="H340" s="323"/>
      <c r="I340" s="323"/>
      <c r="J340" s="324"/>
      <c r="K340" s="39">
        <f>SUM(J148:K339)</f>
        <v>0</v>
      </c>
    </row>
    <row r="341" spans="1:11" ht="16.2" thickBot="1" x14ac:dyDescent="0.35">
      <c r="A341" s="291" t="s">
        <v>458</v>
      </c>
      <c r="B341" s="292"/>
      <c r="C341" s="292"/>
      <c r="D341" s="292"/>
      <c r="E341" s="292"/>
      <c r="F341" s="292"/>
      <c r="G341" s="292"/>
      <c r="H341" s="292"/>
      <c r="I341" s="292"/>
      <c r="J341" s="292"/>
      <c r="K341" s="293"/>
    </row>
    <row r="342" spans="1:11" x14ac:dyDescent="0.3">
      <c r="A342" s="182">
        <v>8</v>
      </c>
      <c r="B342" s="191" t="s">
        <v>10</v>
      </c>
      <c r="C342" s="191">
        <v>90000</v>
      </c>
      <c r="D342" s="294" t="s">
        <v>459</v>
      </c>
      <c r="E342" s="295"/>
      <c r="F342" s="295"/>
      <c r="G342" s="295"/>
      <c r="H342" s="295"/>
      <c r="I342" s="295"/>
      <c r="J342" s="295"/>
      <c r="K342" s="296"/>
    </row>
    <row r="343" spans="1:11" x14ac:dyDescent="0.3">
      <c r="A343" s="183" t="s">
        <v>471</v>
      </c>
      <c r="B343" s="34" t="s">
        <v>10</v>
      </c>
      <c r="C343" s="34">
        <v>91007</v>
      </c>
      <c r="D343" s="35" t="s">
        <v>1126</v>
      </c>
      <c r="E343" s="33">
        <v>1</v>
      </c>
      <c r="F343" s="34" t="s">
        <v>1517</v>
      </c>
      <c r="G343" s="271"/>
      <c r="H343" s="271"/>
      <c r="I343" s="177"/>
      <c r="J343" s="285">
        <f>(G343+H343)*E343*1.2665</f>
        <v>0</v>
      </c>
      <c r="K343" s="286"/>
    </row>
    <row r="344" spans="1:11" s="52" customFormat="1" ht="31.2" x14ac:dyDescent="0.3">
      <c r="A344" s="179" t="s">
        <v>375</v>
      </c>
      <c r="B344" s="284" t="s">
        <v>70</v>
      </c>
      <c r="C344" s="284">
        <v>97341</v>
      </c>
      <c r="D344" s="240" t="s">
        <v>1486</v>
      </c>
      <c r="E344" s="49">
        <v>100</v>
      </c>
      <c r="F344" s="56" t="s">
        <v>319</v>
      </c>
      <c r="G344" s="309"/>
      <c r="H344" s="310"/>
      <c r="I344" s="177"/>
      <c r="J344" s="285">
        <f>(G344+H344)*E344*1.2665</f>
        <v>0</v>
      </c>
      <c r="K344" s="286"/>
    </row>
    <row r="345" spans="1:11" s="52" customFormat="1" ht="31.2" x14ac:dyDescent="0.3">
      <c r="A345" s="184" t="s">
        <v>472</v>
      </c>
      <c r="B345" s="284" t="s">
        <v>70</v>
      </c>
      <c r="C345" s="210">
        <v>97335</v>
      </c>
      <c r="D345" s="241" t="s">
        <v>1487</v>
      </c>
      <c r="E345" s="40">
        <v>50</v>
      </c>
      <c r="F345" s="284" t="s">
        <v>319</v>
      </c>
      <c r="G345" s="309"/>
      <c r="H345" s="310"/>
      <c r="I345" s="177"/>
      <c r="J345" s="285">
        <f t="shared" ref="J345:J359" si="11">(G345+H345)*E345*1.2665</f>
        <v>0</v>
      </c>
      <c r="K345" s="286"/>
    </row>
    <row r="346" spans="1:11" s="52" customFormat="1" ht="31.2" x14ac:dyDescent="0.3">
      <c r="A346" s="179" t="s">
        <v>473</v>
      </c>
      <c r="B346" s="284" t="s">
        <v>70</v>
      </c>
      <c r="C346" s="210">
        <v>97341</v>
      </c>
      <c r="D346" s="240" t="s">
        <v>1488</v>
      </c>
      <c r="E346" s="40">
        <v>10</v>
      </c>
      <c r="F346" s="284" t="s">
        <v>319</v>
      </c>
      <c r="G346" s="309"/>
      <c r="H346" s="310"/>
      <c r="I346" s="177"/>
      <c r="J346" s="285">
        <f t="shared" si="11"/>
        <v>0</v>
      </c>
      <c r="K346" s="286"/>
    </row>
    <row r="347" spans="1:11" s="52" customFormat="1" x14ac:dyDescent="0.3">
      <c r="A347" s="184" t="s">
        <v>474</v>
      </c>
      <c r="B347" s="307" t="s">
        <v>467</v>
      </c>
      <c r="C347" s="308"/>
      <c r="D347" s="241" t="s">
        <v>1489</v>
      </c>
      <c r="E347" s="40">
        <v>14</v>
      </c>
      <c r="F347" s="34" t="s">
        <v>1517</v>
      </c>
      <c r="G347" s="309"/>
      <c r="H347" s="310"/>
      <c r="I347" s="177"/>
      <c r="J347" s="285">
        <f t="shared" si="11"/>
        <v>0</v>
      </c>
      <c r="K347" s="286"/>
    </row>
    <row r="348" spans="1:11" s="52" customFormat="1" x14ac:dyDescent="0.3">
      <c r="A348" s="179" t="s">
        <v>475</v>
      </c>
      <c r="B348" s="307" t="s">
        <v>467</v>
      </c>
      <c r="C348" s="308"/>
      <c r="D348" s="241" t="s">
        <v>1490</v>
      </c>
      <c r="E348" s="40">
        <v>7</v>
      </c>
      <c r="F348" s="34" t="s">
        <v>1517</v>
      </c>
      <c r="G348" s="309"/>
      <c r="H348" s="310"/>
      <c r="I348" s="177"/>
      <c r="J348" s="285">
        <f t="shared" si="11"/>
        <v>0</v>
      </c>
      <c r="K348" s="286"/>
    </row>
    <row r="349" spans="1:11" s="52" customFormat="1" x14ac:dyDescent="0.3">
      <c r="A349" s="184" t="s">
        <v>476</v>
      </c>
      <c r="B349" s="307" t="s">
        <v>467</v>
      </c>
      <c r="C349" s="308"/>
      <c r="D349" s="241" t="s">
        <v>460</v>
      </c>
      <c r="E349" s="40">
        <v>7</v>
      </c>
      <c r="F349" s="34" t="s">
        <v>1517</v>
      </c>
      <c r="G349" s="309"/>
      <c r="H349" s="310"/>
      <c r="I349" s="177"/>
      <c r="J349" s="285">
        <f t="shared" si="11"/>
        <v>0</v>
      </c>
      <c r="K349" s="286"/>
    </row>
    <row r="350" spans="1:11" s="52" customFormat="1" x14ac:dyDescent="0.3">
      <c r="A350" s="179" t="s">
        <v>477</v>
      </c>
      <c r="B350" s="307" t="s">
        <v>467</v>
      </c>
      <c r="C350" s="308"/>
      <c r="D350" s="241" t="s">
        <v>461</v>
      </c>
      <c r="E350" s="40">
        <v>5</v>
      </c>
      <c r="F350" s="34" t="s">
        <v>1517</v>
      </c>
      <c r="G350" s="309"/>
      <c r="H350" s="310"/>
      <c r="I350" s="177"/>
      <c r="J350" s="285">
        <f t="shared" si="11"/>
        <v>0</v>
      </c>
      <c r="K350" s="286"/>
    </row>
    <row r="351" spans="1:11" s="52" customFormat="1" x14ac:dyDescent="0.3">
      <c r="A351" s="184" t="s">
        <v>478</v>
      </c>
      <c r="B351" s="307" t="s">
        <v>467</v>
      </c>
      <c r="C351" s="308"/>
      <c r="D351" s="241" t="s">
        <v>462</v>
      </c>
      <c r="E351" s="40">
        <v>1</v>
      </c>
      <c r="F351" s="34" t="s">
        <v>1517</v>
      </c>
      <c r="G351" s="309"/>
      <c r="H351" s="310"/>
      <c r="I351" s="177"/>
      <c r="J351" s="285">
        <f t="shared" si="11"/>
        <v>0</v>
      </c>
      <c r="K351" s="286"/>
    </row>
    <row r="352" spans="1:11" s="52" customFormat="1" x14ac:dyDescent="0.3">
      <c r="A352" s="179" t="s">
        <v>479</v>
      </c>
      <c r="B352" s="307" t="s">
        <v>467</v>
      </c>
      <c r="C352" s="308"/>
      <c r="D352" s="241" t="s">
        <v>463</v>
      </c>
      <c r="E352" s="40">
        <v>1.5</v>
      </c>
      <c r="F352" s="284" t="s">
        <v>1518</v>
      </c>
      <c r="G352" s="309"/>
      <c r="H352" s="310"/>
      <c r="I352" s="177"/>
      <c r="J352" s="285">
        <f t="shared" si="11"/>
        <v>0</v>
      </c>
      <c r="K352" s="286"/>
    </row>
    <row r="353" spans="1:11" s="52" customFormat="1" x14ac:dyDescent="0.3">
      <c r="A353" s="184" t="s">
        <v>480</v>
      </c>
      <c r="B353" s="307" t="s">
        <v>467</v>
      </c>
      <c r="C353" s="308"/>
      <c r="D353" s="241" t="s">
        <v>464</v>
      </c>
      <c r="E353" s="40">
        <v>0.5</v>
      </c>
      <c r="F353" s="284" t="s">
        <v>1518</v>
      </c>
      <c r="G353" s="309"/>
      <c r="H353" s="310"/>
      <c r="I353" s="177"/>
      <c r="J353" s="285">
        <f t="shared" si="11"/>
        <v>0</v>
      </c>
      <c r="K353" s="286"/>
    </row>
    <row r="354" spans="1:11" s="52" customFormat="1" x14ac:dyDescent="0.3">
      <c r="A354" s="179" t="s">
        <v>481</v>
      </c>
      <c r="B354" s="307" t="s">
        <v>467</v>
      </c>
      <c r="C354" s="308"/>
      <c r="D354" s="241" t="s">
        <v>465</v>
      </c>
      <c r="E354" s="40">
        <v>40</v>
      </c>
      <c r="F354" s="34" t="s">
        <v>1517</v>
      </c>
      <c r="G354" s="309"/>
      <c r="H354" s="310"/>
      <c r="I354" s="177"/>
      <c r="J354" s="285">
        <f t="shared" si="11"/>
        <v>0</v>
      </c>
      <c r="K354" s="286"/>
    </row>
    <row r="355" spans="1:11" s="52" customFormat="1" ht="31.2" x14ac:dyDescent="0.3">
      <c r="A355" s="184" t="s">
        <v>482</v>
      </c>
      <c r="B355" s="284" t="s">
        <v>70</v>
      </c>
      <c r="C355" s="284">
        <v>92311</v>
      </c>
      <c r="D355" s="241" t="s">
        <v>1491</v>
      </c>
      <c r="E355" s="40">
        <v>50</v>
      </c>
      <c r="F355" s="34" t="s">
        <v>1517</v>
      </c>
      <c r="G355" s="309"/>
      <c r="H355" s="310"/>
      <c r="I355" s="177"/>
      <c r="J355" s="285">
        <f t="shared" si="11"/>
        <v>0</v>
      </c>
      <c r="K355" s="286"/>
    </row>
    <row r="356" spans="1:11" s="52" customFormat="1" ht="31.2" x14ac:dyDescent="0.3">
      <c r="A356" s="179" t="s">
        <v>483</v>
      </c>
      <c r="B356" s="284" t="s">
        <v>70</v>
      </c>
      <c r="C356" s="284">
        <v>92287</v>
      </c>
      <c r="D356" s="241" t="s">
        <v>1492</v>
      </c>
      <c r="E356" s="40">
        <v>45</v>
      </c>
      <c r="F356" s="34" t="s">
        <v>1517</v>
      </c>
      <c r="G356" s="309"/>
      <c r="H356" s="310"/>
      <c r="I356" s="177"/>
      <c r="J356" s="285">
        <f t="shared" si="11"/>
        <v>0</v>
      </c>
      <c r="K356" s="286"/>
    </row>
    <row r="357" spans="1:11" s="52" customFormat="1" ht="31.2" x14ac:dyDescent="0.3">
      <c r="A357" s="184" t="s">
        <v>484</v>
      </c>
      <c r="B357" s="284" t="s">
        <v>70</v>
      </c>
      <c r="C357" s="284">
        <v>92315</v>
      </c>
      <c r="D357" s="241" t="s">
        <v>1493</v>
      </c>
      <c r="E357" s="40">
        <v>20</v>
      </c>
      <c r="F357" s="34" t="s">
        <v>1517</v>
      </c>
      <c r="G357" s="309"/>
      <c r="H357" s="310"/>
      <c r="I357" s="177"/>
      <c r="J357" s="285">
        <f t="shared" si="11"/>
        <v>0</v>
      </c>
      <c r="K357" s="286"/>
    </row>
    <row r="358" spans="1:11" s="52" customFormat="1" ht="31.2" x14ac:dyDescent="0.3">
      <c r="A358" s="179" t="s">
        <v>485</v>
      </c>
      <c r="B358" s="284" t="s">
        <v>70</v>
      </c>
      <c r="C358" s="284">
        <v>92314</v>
      </c>
      <c r="D358" s="241" t="s">
        <v>1494</v>
      </c>
      <c r="E358" s="40">
        <v>50</v>
      </c>
      <c r="F358" s="34" t="s">
        <v>1517</v>
      </c>
      <c r="G358" s="309"/>
      <c r="H358" s="310"/>
      <c r="I358" s="177"/>
      <c r="J358" s="285">
        <f t="shared" si="11"/>
        <v>0</v>
      </c>
      <c r="K358" s="286"/>
    </row>
    <row r="359" spans="1:11" s="52" customFormat="1" ht="46.8" x14ac:dyDescent="0.3">
      <c r="A359" s="184" t="s">
        <v>486</v>
      </c>
      <c r="B359" s="284" t="s">
        <v>70</v>
      </c>
      <c r="C359" s="284">
        <v>93051</v>
      </c>
      <c r="D359" s="241" t="s">
        <v>1495</v>
      </c>
      <c r="E359" s="40">
        <v>30</v>
      </c>
      <c r="F359" s="34" t="s">
        <v>1517</v>
      </c>
      <c r="G359" s="309"/>
      <c r="H359" s="310"/>
      <c r="I359" s="177"/>
      <c r="J359" s="285">
        <f t="shared" si="11"/>
        <v>0</v>
      </c>
      <c r="K359" s="286"/>
    </row>
    <row r="360" spans="1:11" s="52" customFormat="1" ht="16.2" thickBot="1" x14ac:dyDescent="0.35">
      <c r="A360" s="179" t="s">
        <v>487</v>
      </c>
      <c r="B360" s="307" t="s">
        <v>467</v>
      </c>
      <c r="C360" s="308"/>
      <c r="D360" s="242" t="s">
        <v>466</v>
      </c>
      <c r="E360" s="55">
        <v>1</v>
      </c>
      <c r="F360" s="34" t="s">
        <v>1517</v>
      </c>
      <c r="G360" s="309"/>
      <c r="H360" s="310"/>
      <c r="I360" s="177"/>
      <c r="J360" s="285">
        <f>(G360+H360)*E360*1.2665</f>
        <v>0</v>
      </c>
      <c r="K360" s="286"/>
    </row>
    <row r="361" spans="1:11" ht="16.2" thickBot="1" x14ac:dyDescent="0.35">
      <c r="A361" s="322" t="s">
        <v>7</v>
      </c>
      <c r="B361" s="323"/>
      <c r="C361" s="323"/>
      <c r="D361" s="323"/>
      <c r="E361" s="323"/>
      <c r="F361" s="323"/>
      <c r="G361" s="323"/>
      <c r="H361" s="323"/>
      <c r="I361" s="323"/>
      <c r="J361" s="324"/>
      <c r="K361" s="39">
        <f>SUM(J343:K360)</f>
        <v>0</v>
      </c>
    </row>
    <row r="362" spans="1:11" ht="16.2" thickBot="1" x14ac:dyDescent="0.35">
      <c r="A362" s="291" t="s">
        <v>34</v>
      </c>
      <c r="B362" s="292"/>
      <c r="C362" s="292"/>
      <c r="D362" s="292"/>
      <c r="E362" s="292"/>
      <c r="F362" s="292"/>
      <c r="G362" s="292"/>
      <c r="H362" s="292"/>
      <c r="I362" s="292"/>
      <c r="J362" s="292"/>
      <c r="K362" s="293"/>
    </row>
    <row r="363" spans="1:11" x14ac:dyDescent="0.3">
      <c r="A363" s="182">
        <v>9</v>
      </c>
      <c r="B363" s="191" t="s">
        <v>10</v>
      </c>
      <c r="C363" s="191">
        <v>100000</v>
      </c>
      <c r="D363" s="294" t="s">
        <v>35</v>
      </c>
      <c r="E363" s="295"/>
      <c r="F363" s="295"/>
      <c r="G363" s="295"/>
      <c r="H363" s="295"/>
      <c r="I363" s="295"/>
      <c r="J363" s="295"/>
      <c r="K363" s="296"/>
    </row>
    <row r="364" spans="1:11" ht="31.2" x14ac:dyDescent="0.3">
      <c r="A364" s="183" t="s">
        <v>488</v>
      </c>
      <c r="B364" s="34" t="s">
        <v>10</v>
      </c>
      <c r="C364" s="34">
        <v>100155</v>
      </c>
      <c r="D364" s="35" t="s">
        <v>468</v>
      </c>
      <c r="E364" s="33">
        <f>'MEMÓRIA DE CÁLCULO'!J609</f>
        <v>2925.907400000001</v>
      </c>
      <c r="F364" s="34" t="s">
        <v>16</v>
      </c>
      <c r="G364" s="271"/>
      <c r="H364" s="271"/>
      <c r="I364" s="177"/>
      <c r="J364" s="285">
        <f>(G364+H364)*E364*1.2665</f>
        <v>0</v>
      </c>
      <c r="K364" s="286"/>
    </row>
    <row r="365" spans="1:11" x14ac:dyDescent="0.3">
      <c r="A365" s="183" t="s">
        <v>489</v>
      </c>
      <c r="B365" s="34" t="s">
        <v>10</v>
      </c>
      <c r="C365" s="34">
        <v>100320</v>
      </c>
      <c r="D365" s="35" t="s">
        <v>469</v>
      </c>
      <c r="E365" s="33">
        <f>'MEMÓRIA DE CÁLCULO'!J621</f>
        <v>112.65</v>
      </c>
      <c r="F365" s="34" t="s">
        <v>16</v>
      </c>
      <c r="G365" s="271"/>
      <c r="H365" s="271"/>
      <c r="I365" s="177"/>
      <c r="J365" s="285">
        <f>(G365+H365)*E365*1.2665</f>
        <v>0</v>
      </c>
      <c r="K365" s="286"/>
    </row>
    <row r="366" spans="1:11" ht="16.2" thickBot="1" x14ac:dyDescent="0.35">
      <c r="A366" s="180" t="s">
        <v>490</v>
      </c>
      <c r="B366" s="38" t="s">
        <v>10</v>
      </c>
      <c r="C366" s="38">
        <v>100501</v>
      </c>
      <c r="D366" s="36" t="s">
        <v>470</v>
      </c>
      <c r="E366" s="37">
        <f>'MEMÓRIA DE CÁLCULO'!J624</f>
        <v>19.62</v>
      </c>
      <c r="F366" s="38" t="s">
        <v>16</v>
      </c>
      <c r="G366" s="23"/>
      <c r="H366" s="23"/>
      <c r="I366" s="177"/>
      <c r="J366" s="285">
        <f>(G366+H366)*E366*1.2665</f>
        <v>0</v>
      </c>
      <c r="K366" s="286"/>
    </row>
    <row r="367" spans="1:11" ht="16.2" thickBot="1" x14ac:dyDescent="0.35">
      <c r="A367" s="322" t="s">
        <v>7</v>
      </c>
      <c r="B367" s="323"/>
      <c r="C367" s="323"/>
      <c r="D367" s="323"/>
      <c r="E367" s="323"/>
      <c r="F367" s="323"/>
      <c r="G367" s="323"/>
      <c r="H367" s="323"/>
      <c r="I367" s="323"/>
      <c r="J367" s="324"/>
      <c r="K367" s="39">
        <f>SUM(J364:K366)</f>
        <v>0</v>
      </c>
    </row>
    <row r="368" spans="1:11" ht="16.2" thickBot="1" x14ac:dyDescent="0.35">
      <c r="A368" s="291" t="s">
        <v>36</v>
      </c>
      <c r="B368" s="292"/>
      <c r="C368" s="292"/>
      <c r="D368" s="292"/>
      <c r="E368" s="292"/>
      <c r="F368" s="292"/>
      <c r="G368" s="292"/>
      <c r="H368" s="292"/>
      <c r="I368" s="292"/>
      <c r="J368" s="292"/>
      <c r="K368" s="293"/>
    </row>
    <row r="369" spans="1:11" x14ac:dyDescent="0.3">
      <c r="A369" s="182">
        <v>10</v>
      </c>
      <c r="B369" s="191" t="s">
        <v>10</v>
      </c>
      <c r="C369" s="191">
        <v>120000</v>
      </c>
      <c r="D369" s="294" t="s">
        <v>37</v>
      </c>
      <c r="E369" s="295"/>
      <c r="F369" s="295"/>
      <c r="G369" s="295"/>
      <c r="H369" s="295"/>
      <c r="I369" s="295"/>
      <c r="J369" s="295"/>
      <c r="K369" s="296"/>
    </row>
    <row r="370" spans="1:11" x14ac:dyDescent="0.3">
      <c r="A370" s="183" t="s">
        <v>599</v>
      </c>
      <c r="B370" s="34" t="s">
        <v>10</v>
      </c>
      <c r="C370" s="34">
        <v>120209</v>
      </c>
      <c r="D370" s="35" t="s">
        <v>596</v>
      </c>
      <c r="E370" s="33">
        <f>'MEMÓRIA DE CÁLCULO'!J632</f>
        <v>419.77760000000001</v>
      </c>
      <c r="F370" s="34" t="s">
        <v>16</v>
      </c>
      <c r="G370" s="271"/>
      <c r="H370" s="271"/>
      <c r="I370" s="177"/>
      <c r="J370" s="285">
        <f>(G370+H370)*E370*1.2665</f>
        <v>0</v>
      </c>
      <c r="K370" s="286"/>
    </row>
    <row r="371" spans="1:11" x14ac:dyDescent="0.3">
      <c r="A371" s="183" t="s">
        <v>600</v>
      </c>
      <c r="B371" s="34" t="s">
        <v>10</v>
      </c>
      <c r="C371" s="34">
        <v>120902</v>
      </c>
      <c r="D371" s="35" t="s">
        <v>597</v>
      </c>
      <c r="E371" s="33">
        <f>'MEMÓRIA DE CÁLCULO'!J636</f>
        <v>861.59459999999979</v>
      </c>
      <c r="F371" s="34" t="s">
        <v>16</v>
      </c>
      <c r="G371" s="271"/>
      <c r="H371" s="271"/>
      <c r="I371" s="177"/>
      <c r="J371" s="285">
        <f>(G371+H371)*E371*1.2665</f>
        <v>0</v>
      </c>
      <c r="K371" s="286"/>
    </row>
    <row r="372" spans="1:11" ht="31.2" x14ac:dyDescent="0.3">
      <c r="A372" s="183" t="s">
        <v>601</v>
      </c>
      <c r="B372" s="34" t="s">
        <v>10</v>
      </c>
      <c r="C372" s="211">
        <v>121001</v>
      </c>
      <c r="D372" s="35" t="s">
        <v>598</v>
      </c>
      <c r="E372" s="33">
        <f>'MEMÓRIA DE CÁLCULO'!J661</f>
        <v>204.02</v>
      </c>
      <c r="F372" s="34" t="s">
        <v>16</v>
      </c>
      <c r="G372" s="271"/>
      <c r="H372" s="271"/>
      <c r="I372" s="177"/>
      <c r="J372" s="285">
        <f>(G372+H372)*E372*1.2665</f>
        <v>0</v>
      </c>
      <c r="K372" s="286"/>
    </row>
    <row r="373" spans="1:11" ht="31.8" thickBot="1" x14ac:dyDescent="0.35">
      <c r="A373" s="180" t="s">
        <v>1465</v>
      </c>
      <c r="B373" s="38" t="s">
        <v>10</v>
      </c>
      <c r="C373" s="192">
        <v>121101</v>
      </c>
      <c r="D373" s="36" t="s">
        <v>1464</v>
      </c>
      <c r="E373" s="37">
        <f>'MEMÓRIA DE CÁLCULO'!J664</f>
        <v>40</v>
      </c>
      <c r="F373" s="38" t="s">
        <v>13</v>
      </c>
      <c r="G373" s="23"/>
      <c r="H373" s="23"/>
      <c r="I373" s="177"/>
      <c r="J373" s="285">
        <f>(G373+H373)*E373*1.2665</f>
        <v>0</v>
      </c>
      <c r="K373" s="286"/>
    </row>
    <row r="374" spans="1:11" ht="16.2" thickBot="1" x14ac:dyDescent="0.35">
      <c r="A374" s="322" t="s">
        <v>7</v>
      </c>
      <c r="B374" s="323"/>
      <c r="C374" s="323"/>
      <c r="D374" s="323"/>
      <c r="E374" s="323"/>
      <c r="F374" s="323"/>
      <c r="G374" s="323"/>
      <c r="H374" s="323"/>
      <c r="I374" s="323"/>
      <c r="J374" s="324"/>
      <c r="K374" s="39">
        <f>SUM(J370:K373)</f>
        <v>0</v>
      </c>
    </row>
    <row r="375" spans="1:11" ht="16.2" thickBot="1" x14ac:dyDescent="0.35">
      <c r="A375" s="291" t="s">
        <v>38</v>
      </c>
      <c r="B375" s="292"/>
      <c r="C375" s="292"/>
      <c r="D375" s="292"/>
      <c r="E375" s="292"/>
      <c r="F375" s="292"/>
      <c r="G375" s="292"/>
      <c r="H375" s="292"/>
      <c r="I375" s="292"/>
      <c r="J375" s="292"/>
      <c r="K375" s="293"/>
    </row>
    <row r="376" spans="1:11" x14ac:dyDescent="0.3">
      <c r="A376" s="182">
        <v>11</v>
      </c>
      <c r="B376" s="191" t="s">
        <v>10</v>
      </c>
      <c r="C376" s="191">
        <v>140000</v>
      </c>
      <c r="D376" s="294" t="s">
        <v>39</v>
      </c>
      <c r="E376" s="295"/>
      <c r="F376" s="295"/>
      <c r="G376" s="295"/>
      <c r="H376" s="295"/>
      <c r="I376" s="295"/>
      <c r="J376" s="295"/>
      <c r="K376" s="296"/>
    </row>
    <row r="377" spans="1:11" ht="16.2" thickBot="1" x14ac:dyDescent="0.35">
      <c r="A377" s="180" t="s">
        <v>637</v>
      </c>
      <c r="B377" s="38" t="s">
        <v>10</v>
      </c>
      <c r="C377" s="38">
        <v>140201</v>
      </c>
      <c r="D377" s="36" t="s">
        <v>636</v>
      </c>
      <c r="E377" s="37">
        <f>'MEMÓRIA DE CÁLCULO'!J669</f>
        <v>1144.75</v>
      </c>
      <c r="F377" s="38" t="s">
        <v>16</v>
      </c>
      <c r="G377" s="23"/>
      <c r="H377" s="23"/>
      <c r="I377" s="177"/>
      <c r="J377" s="285">
        <f>(G377+H377)*E377*1.2665</f>
        <v>0</v>
      </c>
      <c r="K377" s="286"/>
    </row>
    <row r="378" spans="1:11" ht="16.2" thickBot="1" x14ac:dyDescent="0.35">
      <c r="A378" s="322" t="s">
        <v>7</v>
      </c>
      <c r="B378" s="323"/>
      <c r="C378" s="323"/>
      <c r="D378" s="323"/>
      <c r="E378" s="323"/>
      <c r="F378" s="323"/>
      <c r="G378" s="323"/>
      <c r="H378" s="323"/>
      <c r="I378" s="323"/>
      <c r="J378" s="324"/>
      <c r="K378" s="39">
        <f>J377</f>
        <v>0</v>
      </c>
    </row>
    <row r="379" spans="1:11" ht="16.2" thickBot="1" x14ac:dyDescent="0.35">
      <c r="A379" s="291" t="s">
        <v>40</v>
      </c>
      <c r="B379" s="292"/>
      <c r="C379" s="292"/>
      <c r="D379" s="292"/>
      <c r="E379" s="292"/>
      <c r="F379" s="292"/>
      <c r="G379" s="292"/>
      <c r="H379" s="292"/>
      <c r="I379" s="292"/>
      <c r="J379" s="292"/>
      <c r="K379" s="293"/>
    </row>
    <row r="380" spans="1:11" x14ac:dyDescent="0.3">
      <c r="A380" s="182">
        <v>12</v>
      </c>
      <c r="B380" s="191" t="s">
        <v>10</v>
      </c>
      <c r="C380" s="191">
        <v>150000</v>
      </c>
      <c r="D380" s="294" t="s">
        <v>41</v>
      </c>
      <c r="E380" s="295"/>
      <c r="F380" s="295"/>
      <c r="G380" s="295"/>
      <c r="H380" s="295"/>
      <c r="I380" s="295"/>
      <c r="J380" s="295"/>
      <c r="K380" s="296"/>
    </row>
    <row r="381" spans="1:11" ht="31.2" x14ac:dyDescent="0.3">
      <c r="A381" s="183" t="s">
        <v>659</v>
      </c>
      <c r="B381" s="34" t="s">
        <v>10</v>
      </c>
      <c r="C381" s="34">
        <v>150204</v>
      </c>
      <c r="D381" s="35" t="s">
        <v>640</v>
      </c>
      <c r="E381" s="33">
        <f>'MEMÓRIA DE CÁLCULO'!J675</f>
        <v>5863</v>
      </c>
      <c r="F381" s="34" t="s">
        <v>129</v>
      </c>
      <c r="G381" s="271"/>
      <c r="H381" s="271"/>
      <c r="I381" s="177"/>
      <c r="J381" s="285">
        <f>(G381+H381)*E381*1.2665</f>
        <v>0</v>
      </c>
      <c r="K381" s="286"/>
    </row>
    <row r="382" spans="1:11" ht="46.8" x14ac:dyDescent="0.3">
      <c r="A382" s="183" t="s">
        <v>1240</v>
      </c>
      <c r="B382" s="34" t="s">
        <v>70</v>
      </c>
      <c r="C382" s="34">
        <v>92580</v>
      </c>
      <c r="D382" s="35" t="s">
        <v>1239</v>
      </c>
      <c r="E382" s="33">
        <f>'MEMÓRIA DE CÁLCULO'!J679</f>
        <v>857.94</v>
      </c>
      <c r="F382" s="34" t="s">
        <v>534</v>
      </c>
      <c r="G382" s="334"/>
      <c r="H382" s="334"/>
      <c r="I382" s="177"/>
      <c r="J382" s="285">
        <f>(G382+H382)*E382*1.2665</f>
        <v>0</v>
      </c>
      <c r="K382" s="286"/>
    </row>
    <row r="383" spans="1:11" ht="46.8" x14ac:dyDescent="0.3">
      <c r="A383" s="183" t="s">
        <v>1241</v>
      </c>
      <c r="B383" s="34" t="s">
        <v>70</v>
      </c>
      <c r="C383" s="34">
        <v>92620</v>
      </c>
      <c r="D383" s="35" t="s">
        <v>1392</v>
      </c>
      <c r="E383" s="33">
        <f>'MEMÓRIA DE CÁLCULO'!J682</f>
        <v>7</v>
      </c>
      <c r="F383" s="34" t="s">
        <v>1517</v>
      </c>
      <c r="G383" s="332"/>
      <c r="H383" s="333"/>
      <c r="I383" s="177"/>
      <c r="J383" s="285">
        <f>(G383+H383)*E383*1.2665</f>
        <v>0</v>
      </c>
      <c r="K383" s="286"/>
    </row>
    <row r="384" spans="1:11" ht="31.8" thickBot="1" x14ac:dyDescent="0.35">
      <c r="A384" s="180" t="s">
        <v>1393</v>
      </c>
      <c r="B384" s="335" t="s">
        <v>1390</v>
      </c>
      <c r="C384" s="336"/>
      <c r="D384" s="36" t="s">
        <v>1391</v>
      </c>
      <c r="E384" s="37">
        <f>'MEMÓRIA DE CÁLCULO'!J685</f>
        <v>6</v>
      </c>
      <c r="F384" s="38" t="s">
        <v>1517</v>
      </c>
      <c r="G384" s="297"/>
      <c r="H384" s="298"/>
      <c r="I384" s="177"/>
      <c r="J384" s="285">
        <f>(G384+H384)*E384*1.2665</f>
        <v>0</v>
      </c>
      <c r="K384" s="286"/>
    </row>
    <row r="385" spans="1:11" ht="16.2" thickBot="1" x14ac:dyDescent="0.35">
      <c r="A385" s="322" t="s">
        <v>7</v>
      </c>
      <c r="B385" s="323"/>
      <c r="C385" s="323"/>
      <c r="D385" s="323"/>
      <c r="E385" s="323"/>
      <c r="F385" s="323"/>
      <c r="G385" s="323"/>
      <c r="H385" s="323"/>
      <c r="I385" s="323"/>
      <c r="J385" s="324"/>
      <c r="K385" s="39">
        <f>SUM(J381:K384)</f>
        <v>0</v>
      </c>
    </row>
    <row r="386" spans="1:11" ht="16.2" thickBot="1" x14ac:dyDescent="0.35">
      <c r="A386" s="291" t="s">
        <v>42</v>
      </c>
      <c r="B386" s="318"/>
      <c r="C386" s="318"/>
      <c r="D386" s="318"/>
      <c r="E386" s="318"/>
      <c r="F386" s="318"/>
      <c r="G386" s="318"/>
      <c r="H386" s="318"/>
      <c r="I386" s="318"/>
      <c r="J386" s="318"/>
      <c r="K386" s="319"/>
    </row>
    <row r="387" spans="1:11" x14ac:dyDescent="0.3">
      <c r="A387" s="182">
        <v>13</v>
      </c>
      <c r="B387" s="193" t="s">
        <v>10</v>
      </c>
      <c r="C387" s="193">
        <v>160000</v>
      </c>
      <c r="D387" s="320" t="s">
        <v>43</v>
      </c>
      <c r="E387" s="320"/>
      <c r="F387" s="320"/>
      <c r="G387" s="320"/>
      <c r="H387" s="320"/>
      <c r="I387" s="320"/>
      <c r="J387" s="320"/>
      <c r="K387" s="321"/>
    </row>
    <row r="388" spans="1:11" x14ac:dyDescent="0.3">
      <c r="A388" s="183" t="s">
        <v>650</v>
      </c>
      <c r="B388" s="34" t="s">
        <v>10</v>
      </c>
      <c r="C388" s="34">
        <v>160501</v>
      </c>
      <c r="D388" s="35" t="s">
        <v>641</v>
      </c>
      <c r="E388" s="33">
        <f>'MEMÓRIA DE CÁLCULO'!J690</f>
        <v>1144.75</v>
      </c>
      <c r="F388" s="34" t="s">
        <v>13</v>
      </c>
      <c r="G388" s="271"/>
      <c r="H388" s="271"/>
      <c r="I388" s="177"/>
      <c r="J388" s="285">
        <f>(G388+H388)*E388*1.2665</f>
        <v>0</v>
      </c>
      <c r="K388" s="286"/>
    </row>
    <row r="389" spans="1:11" x14ac:dyDescent="0.3">
      <c r="A389" s="183" t="s">
        <v>651</v>
      </c>
      <c r="B389" s="34" t="s">
        <v>10</v>
      </c>
      <c r="C389" s="34">
        <v>160502</v>
      </c>
      <c r="D389" s="35" t="s">
        <v>642</v>
      </c>
      <c r="E389" s="33">
        <f>'MEMÓRIA DE CÁLCULO'!J693</f>
        <v>70.599999999999994</v>
      </c>
      <c r="F389" s="34" t="s">
        <v>31</v>
      </c>
      <c r="G389" s="271"/>
      <c r="H389" s="271"/>
      <c r="I389" s="177"/>
      <c r="J389" s="285">
        <f t="shared" ref="J389:J396" si="12">(G389+H389)*E389*1.2665</f>
        <v>0</v>
      </c>
      <c r="K389" s="286"/>
    </row>
    <row r="390" spans="1:11" x14ac:dyDescent="0.3">
      <c r="A390" s="183" t="s">
        <v>652</v>
      </c>
      <c r="B390" s="34" t="s">
        <v>10</v>
      </c>
      <c r="C390" s="34">
        <v>160600</v>
      </c>
      <c r="D390" s="35" t="s">
        <v>643</v>
      </c>
      <c r="E390" s="33">
        <f>'MEMÓRIA DE CÁLCULO'!J696</f>
        <v>59.413000000000004</v>
      </c>
      <c r="F390" s="34" t="s">
        <v>16</v>
      </c>
      <c r="G390" s="271"/>
      <c r="H390" s="271"/>
      <c r="I390" s="177"/>
      <c r="J390" s="285">
        <f t="shared" si="12"/>
        <v>0</v>
      </c>
      <c r="K390" s="286"/>
    </row>
    <row r="391" spans="1:11" x14ac:dyDescent="0.3">
      <c r="A391" s="183" t="s">
        <v>653</v>
      </c>
      <c r="B391" s="34" t="s">
        <v>10</v>
      </c>
      <c r="C391" s="34">
        <v>160601</v>
      </c>
      <c r="D391" s="35" t="s">
        <v>644</v>
      </c>
      <c r="E391" s="33">
        <f>'MEMÓRIA DE CÁLCULO'!J701</f>
        <v>299.18</v>
      </c>
      <c r="F391" s="34" t="s">
        <v>78</v>
      </c>
      <c r="G391" s="271"/>
      <c r="H391" s="271"/>
      <c r="I391" s="177"/>
      <c r="J391" s="285">
        <f t="shared" si="12"/>
        <v>0</v>
      </c>
      <c r="K391" s="286"/>
    </row>
    <row r="392" spans="1:11" x14ac:dyDescent="0.3">
      <c r="A392" s="183" t="s">
        <v>654</v>
      </c>
      <c r="B392" s="34" t="s">
        <v>10</v>
      </c>
      <c r="C392" s="34">
        <v>160602</v>
      </c>
      <c r="D392" s="35" t="s">
        <v>645</v>
      </c>
      <c r="E392" s="33">
        <f>'MEMÓRIA DE CÁLCULO'!J706</f>
        <v>210.57</v>
      </c>
      <c r="F392" s="34" t="s">
        <v>31</v>
      </c>
      <c r="G392" s="271"/>
      <c r="H392" s="271"/>
      <c r="I392" s="177"/>
      <c r="J392" s="285">
        <f t="shared" si="12"/>
        <v>0</v>
      </c>
      <c r="K392" s="286"/>
    </row>
    <row r="393" spans="1:11" x14ac:dyDescent="0.3">
      <c r="A393" s="183" t="s">
        <v>655</v>
      </c>
      <c r="B393" s="34" t="s">
        <v>1560</v>
      </c>
      <c r="C393" s="34" t="s">
        <v>1562</v>
      </c>
      <c r="D393" s="35" t="s">
        <v>1561</v>
      </c>
      <c r="E393" s="33">
        <f>'MEMÓRIA DE CÁLCULO'!J709</f>
        <v>114.79999999999998</v>
      </c>
      <c r="F393" s="34" t="s">
        <v>16</v>
      </c>
      <c r="G393" s="332"/>
      <c r="H393" s="333"/>
      <c r="I393" s="177"/>
      <c r="J393" s="285">
        <f t="shared" si="12"/>
        <v>0</v>
      </c>
      <c r="K393" s="286"/>
    </row>
    <row r="394" spans="1:11" x14ac:dyDescent="0.3">
      <c r="A394" s="183" t="s">
        <v>656</v>
      </c>
      <c r="B394" s="34" t="s">
        <v>10</v>
      </c>
      <c r="C394" s="34">
        <v>160964</v>
      </c>
      <c r="D394" s="35" t="s">
        <v>646</v>
      </c>
      <c r="E394" s="33">
        <f>'MEMÓRIA DE CÁLCULO'!J713</f>
        <v>57.67</v>
      </c>
      <c r="F394" s="34" t="s">
        <v>319</v>
      </c>
      <c r="G394" s="271"/>
      <c r="H394" s="271"/>
      <c r="I394" s="177"/>
      <c r="J394" s="285">
        <f t="shared" si="12"/>
        <v>0</v>
      </c>
      <c r="K394" s="286"/>
    </row>
    <row r="395" spans="1:11" ht="31.2" x14ac:dyDescent="0.3">
      <c r="A395" s="183" t="s">
        <v>657</v>
      </c>
      <c r="B395" s="34" t="s">
        <v>10</v>
      </c>
      <c r="C395" s="58">
        <v>160970</v>
      </c>
      <c r="D395" s="35" t="s">
        <v>647</v>
      </c>
      <c r="E395" s="33">
        <f>'MEMÓRIA DE CÁLCULO'!J717</f>
        <v>176.10000000000002</v>
      </c>
      <c r="F395" s="58" t="s">
        <v>648</v>
      </c>
      <c r="G395" s="271"/>
      <c r="H395" s="271"/>
      <c r="I395" s="177"/>
      <c r="J395" s="285">
        <f t="shared" si="12"/>
        <v>0</v>
      </c>
      <c r="K395" s="286"/>
    </row>
    <row r="396" spans="1:11" ht="31.8" thickBot="1" x14ac:dyDescent="0.35">
      <c r="A396" s="180" t="s">
        <v>658</v>
      </c>
      <c r="B396" s="38" t="s">
        <v>70</v>
      </c>
      <c r="C396" s="59">
        <v>94216</v>
      </c>
      <c r="D396" s="36" t="s">
        <v>649</v>
      </c>
      <c r="E396" s="37">
        <f>'MEMÓRIA DE CÁLCULO'!J721</f>
        <v>857.94</v>
      </c>
      <c r="F396" s="59" t="s">
        <v>534</v>
      </c>
      <c r="G396" s="297"/>
      <c r="H396" s="298"/>
      <c r="I396" s="177"/>
      <c r="J396" s="285">
        <f t="shared" si="12"/>
        <v>0</v>
      </c>
      <c r="K396" s="286"/>
    </row>
    <row r="397" spans="1:11" ht="16.2" thickBot="1" x14ac:dyDescent="0.35">
      <c r="A397" s="322" t="s">
        <v>7</v>
      </c>
      <c r="B397" s="323"/>
      <c r="C397" s="323"/>
      <c r="D397" s="323"/>
      <c r="E397" s="323"/>
      <c r="F397" s="323"/>
      <c r="G397" s="323"/>
      <c r="H397" s="323"/>
      <c r="I397" s="323"/>
      <c r="J397" s="324"/>
      <c r="K397" s="39">
        <f>SUM(J388:K396)</f>
        <v>0</v>
      </c>
    </row>
    <row r="398" spans="1:11" ht="16.2" thickBot="1" x14ac:dyDescent="0.35">
      <c r="A398" s="291" t="s">
        <v>44</v>
      </c>
      <c r="B398" s="292"/>
      <c r="C398" s="292"/>
      <c r="D398" s="292"/>
      <c r="E398" s="292"/>
      <c r="F398" s="292"/>
      <c r="G398" s="292"/>
      <c r="H398" s="292"/>
      <c r="I398" s="292"/>
      <c r="J398" s="292"/>
      <c r="K398" s="293"/>
    </row>
    <row r="399" spans="1:11" x14ac:dyDescent="0.3">
      <c r="A399" s="182">
        <v>14</v>
      </c>
      <c r="B399" s="191" t="s">
        <v>10</v>
      </c>
      <c r="C399" s="191">
        <v>170000</v>
      </c>
      <c r="D399" s="294" t="s">
        <v>45</v>
      </c>
      <c r="E399" s="295"/>
      <c r="F399" s="295"/>
      <c r="G399" s="295"/>
      <c r="H399" s="295"/>
      <c r="I399" s="295"/>
      <c r="J399" s="295"/>
      <c r="K399" s="296"/>
    </row>
    <row r="400" spans="1:11" x14ac:dyDescent="0.3">
      <c r="A400" s="183" t="s">
        <v>753</v>
      </c>
      <c r="B400" s="34" t="s">
        <v>10</v>
      </c>
      <c r="C400" s="34">
        <v>170103</v>
      </c>
      <c r="D400" s="35" t="s">
        <v>751</v>
      </c>
      <c r="E400" s="33">
        <f>'MEMÓRIA DE CÁLCULO'!J780</f>
        <v>55</v>
      </c>
      <c r="F400" s="34" t="s">
        <v>1517</v>
      </c>
      <c r="G400" s="271"/>
      <c r="H400" s="271"/>
      <c r="I400" s="177"/>
      <c r="J400" s="285">
        <f>(G400+H400)*E400*1.2665</f>
        <v>0</v>
      </c>
      <c r="K400" s="286"/>
    </row>
    <row r="401" spans="1:11" ht="16.2" thickBot="1" x14ac:dyDescent="0.35">
      <c r="A401" s="180" t="s">
        <v>754</v>
      </c>
      <c r="B401" s="38" t="s">
        <v>10</v>
      </c>
      <c r="C401" s="38">
        <v>170111</v>
      </c>
      <c r="D401" s="36" t="s">
        <v>752</v>
      </c>
      <c r="E401" s="37">
        <f>'MEMÓRIA DE CÁLCULO'!J784</f>
        <v>2</v>
      </c>
      <c r="F401" s="34" t="s">
        <v>1517</v>
      </c>
      <c r="G401" s="23"/>
      <c r="H401" s="23"/>
      <c r="I401" s="177"/>
      <c r="J401" s="285">
        <f>(G401+H401)*E401*1.2665</f>
        <v>0</v>
      </c>
      <c r="K401" s="286"/>
    </row>
    <row r="402" spans="1:11" ht="16.2" thickBot="1" x14ac:dyDescent="0.35">
      <c r="A402" s="322" t="s">
        <v>7</v>
      </c>
      <c r="B402" s="323"/>
      <c r="C402" s="323"/>
      <c r="D402" s="323"/>
      <c r="E402" s="323"/>
      <c r="F402" s="323"/>
      <c r="G402" s="323"/>
      <c r="H402" s="323"/>
      <c r="I402" s="323"/>
      <c r="J402" s="324"/>
      <c r="K402" s="39">
        <f>SUM(J400:K401)</f>
        <v>0</v>
      </c>
    </row>
    <row r="403" spans="1:11" ht="16.2" thickBot="1" x14ac:dyDescent="0.35">
      <c r="A403" s="291" t="s">
        <v>46</v>
      </c>
      <c r="B403" s="292"/>
      <c r="C403" s="292"/>
      <c r="D403" s="292"/>
      <c r="E403" s="292"/>
      <c r="F403" s="292"/>
      <c r="G403" s="292"/>
      <c r="H403" s="292"/>
      <c r="I403" s="292"/>
      <c r="J403" s="292"/>
      <c r="K403" s="293"/>
    </row>
    <row r="404" spans="1:11" x14ac:dyDescent="0.3">
      <c r="A404" s="182">
        <v>15</v>
      </c>
      <c r="B404" s="191" t="s">
        <v>10</v>
      </c>
      <c r="C404" s="191">
        <v>180000</v>
      </c>
      <c r="D404" s="294" t="s">
        <v>47</v>
      </c>
      <c r="E404" s="295"/>
      <c r="F404" s="295"/>
      <c r="G404" s="295"/>
      <c r="H404" s="295"/>
      <c r="I404" s="295"/>
      <c r="J404" s="295"/>
      <c r="K404" s="296"/>
    </row>
    <row r="405" spans="1:11" ht="31.2" x14ac:dyDescent="0.3">
      <c r="A405" s="183" t="s">
        <v>820</v>
      </c>
      <c r="B405" s="34" t="s">
        <v>10</v>
      </c>
      <c r="C405" s="34">
        <v>180114</v>
      </c>
      <c r="D405" s="35" t="s">
        <v>812</v>
      </c>
      <c r="E405" s="33">
        <f>'MEMÓRIA DE CÁLCULO'!J797</f>
        <v>21</v>
      </c>
      <c r="F405" s="34" t="s">
        <v>16</v>
      </c>
      <c r="G405" s="271"/>
      <c r="H405" s="271"/>
      <c r="I405" s="177"/>
      <c r="J405" s="285">
        <f>(G405+H405)*E405*1.2665</f>
        <v>0</v>
      </c>
      <c r="K405" s="286"/>
    </row>
    <row r="406" spans="1:11" x14ac:dyDescent="0.3">
      <c r="A406" s="183" t="s">
        <v>821</v>
      </c>
      <c r="B406" s="34" t="s">
        <v>10</v>
      </c>
      <c r="C406" s="34">
        <v>180401</v>
      </c>
      <c r="D406" s="35" t="s">
        <v>813</v>
      </c>
      <c r="E406" s="33">
        <f>'MEMÓRIA DE CÁLCULO'!J807</f>
        <v>12.000000000000002</v>
      </c>
      <c r="F406" s="34" t="s">
        <v>534</v>
      </c>
      <c r="G406" s="271"/>
      <c r="H406" s="271"/>
      <c r="I406" s="177"/>
      <c r="J406" s="285">
        <f t="shared" ref="J406:J415" si="13">(G406+H406)*E406*1.2665</f>
        <v>0</v>
      </c>
      <c r="K406" s="286"/>
    </row>
    <row r="407" spans="1:11" x14ac:dyDescent="0.3">
      <c r="A407" s="183" t="s">
        <v>822</v>
      </c>
      <c r="B407" s="34" t="s">
        <v>10</v>
      </c>
      <c r="C407" s="34">
        <v>180401</v>
      </c>
      <c r="D407" s="35" t="s">
        <v>813</v>
      </c>
      <c r="E407" s="33">
        <f>'MEMÓRIA DE CÁLCULO'!J843</f>
        <v>75.789999999999964</v>
      </c>
      <c r="F407" s="34" t="s">
        <v>534</v>
      </c>
      <c r="G407" s="271"/>
      <c r="H407" s="271"/>
      <c r="I407" s="177"/>
      <c r="J407" s="285">
        <f t="shared" si="13"/>
        <v>0</v>
      </c>
      <c r="K407" s="286"/>
    </row>
    <row r="408" spans="1:11" x14ac:dyDescent="0.3">
      <c r="A408" s="183" t="s">
        <v>823</v>
      </c>
      <c r="B408" s="34" t="s">
        <v>10</v>
      </c>
      <c r="C408" s="34">
        <v>180402</v>
      </c>
      <c r="D408" s="35" t="s">
        <v>815</v>
      </c>
      <c r="E408" s="33">
        <f>'MEMÓRIA DE CÁLCULO'!J846</f>
        <v>15</v>
      </c>
      <c r="F408" s="34" t="s">
        <v>534</v>
      </c>
      <c r="G408" s="271"/>
      <c r="H408" s="271"/>
      <c r="I408" s="177"/>
      <c r="J408" s="285">
        <f t="shared" si="13"/>
        <v>0</v>
      </c>
      <c r="K408" s="286"/>
    </row>
    <row r="409" spans="1:11" x14ac:dyDescent="0.3">
      <c r="A409" s="183" t="s">
        <v>824</v>
      </c>
      <c r="B409" s="34" t="s">
        <v>10</v>
      </c>
      <c r="C409" s="34">
        <v>180403</v>
      </c>
      <c r="D409" s="35" t="s">
        <v>816</v>
      </c>
      <c r="E409" s="33">
        <f>'MEMÓRIA DE CÁLCULO'!J853</f>
        <v>6.3999999999999995</v>
      </c>
      <c r="F409" s="34" t="s">
        <v>534</v>
      </c>
      <c r="G409" s="271"/>
      <c r="H409" s="271"/>
      <c r="I409" s="177"/>
      <c r="J409" s="285">
        <f t="shared" si="13"/>
        <v>0</v>
      </c>
      <c r="K409" s="286"/>
    </row>
    <row r="410" spans="1:11" x14ac:dyDescent="0.3">
      <c r="A410" s="183" t="s">
        <v>825</v>
      </c>
      <c r="B410" s="34" t="s">
        <v>10</v>
      </c>
      <c r="C410" s="34">
        <v>180404</v>
      </c>
      <c r="D410" s="35" t="s">
        <v>817</v>
      </c>
      <c r="E410" s="33">
        <f>'MEMÓRIA DE CÁLCULO'!J872</f>
        <v>9.94</v>
      </c>
      <c r="F410" s="34" t="s">
        <v>534</v>
      </c>
      <c r="G410" s="271"/>
      <c r="H410" s="271"/>
      <c r="I410" s="177"/>
      <c r="J410" s="285">
        <f t="shared" si="13"/>
        <v>0</v>
      </c>
      <c r="K410" s="286"/>
    </row>
    <row r="411" spans="1:11" x14ac:dyDescent="0.3">
      <c r="A411" s="183" t="s">
        <v>826</v>
      </c>
      <c r="B411" s="34" t="s">
        <v>10</v>
      </c>
      <c r="C411" s="34">
        <v>180506</v>
      </c>
      <c r="D411" s="35" t="s">
        <v>818</v>
      </c>
      <c r="E411" s="33">
        <f>'MEMÓRIA DE CÁLCULO'!J877</f>
        <v>21.000000000000004</v>
      </c>
      <c r="F411" s="34" t="s">
        <v>534</v>
      </c>
      <c r="G411" s="271"/>
      <c r="H411" s="271"/>
      <c r="I411" s="177"/>
      <c r="J411" s="285">
        <f t="shared" si="13"/>
        <v>0</v>
      </c>
      <c r="K411" s="286"/>
    </row>
    <row r="412" spans="1:11" x14ac:dyDescent="0.3">
      <c r="A412" s="183" t="s">
        <v>827</v>
      </c>
      <c r="B412" s="34" t="s">
        <v>10</v>
      </c>
      <c r="C412" s="34">
        <v>80280</v>
      </c>
      <c r="D412" s="35" t="s">
        <v>1368</v>
      </c>
      <c r="E412" s="33">
        <f>'MEMÓRIA DE CÁLCULO'!J881</f>
        <v>49.769999999999996</v>
      </c>
      <c r="F412" s="34" t="s">
        <v>534</v>
      </c>
      <c r="G412" s="271"/>
      <c r="H412" s="271"/>
      <c r="I412" s="177"/>
      <c r="J412" s="285">
        <f t="shared" si="13"/>
        <v>0</v>
      </c>
      <c r="K412" s="286"/>
    </row>
    <row r="413" spans="1:11" x14ac:dyDescent="0.3">
      <c r="A413" s="183" t="s">
        <v>828</v>
      </c>
      <c r="B413" s="34" t="s">
        <v>10</v>
      </c>
      <c r="C413" s="34">
        <v>180304</v>
      </c>
      <c r="D413" s="35" t="s">
        <v>893</v>
      </c>
      <c r="E413" s="33">
        <f>'MEMÓRIA DE CÁLCULO'!J884</f>
        <v>10.5</v>
      </c>
      <c r="F413" s="34" t="s">
        <v>534</v>
      </c>
      <c r="G413" s="271"/>
      <c r="H413" s="271"/>
      <c r="I413" s="177"/>
      <c r="J413" s="285">
        <f t="shared" si="13"/>
        <v>0</v>
      </c>
      <c r="K413" s="286"/>
    </row>
    <row r="414" spans="1:11" x14ac:dyDescent="0.3">
      <c r="A414" s="183" t="s">
        <v>1369</v>
      </c>
      <c r="B414" s="34" t="s">
        <v>10</v>
      </c>
      <c r="C414" s="34">
        <v>180509</v>
      </c>
      <c r="D414" s="35" t="s">
        <v>819</v>
      </c>
      <c r="E414" s="33">
        <f>'MEMÓRIA DE CÁLCULO'!J894</f>
        <v>39.419999999999995</v>
      </c>
      <c r="F414" s="34" t="s">
        <v>534</v>
      </c>
      <c r="G414" s="271"/>
      <c r="H414" s="271"/>
      <c r="I414" s="177"/>
      <c r="J414" s="285">
        <f t="shared" si="13"/>
        <v>0</v>
      </c>
      <c r="K414" s="286"/>
    </row>
    <row r="415" spans="1:11" ht="16.2" thickBot="1" x14ac:dyDescent="0.35">
      <c r="A415" s="180" t="s">
        <v>1463</v>
      </c>
      <c r="B415" s="38" t="s">
        <v>10</v>
      </c>
      <c r="C415" s="38">
        <v>180703</v>
      </c>
      <c r="D415" s="36" t="s">
        <v>1462</v>
      </c>
      <c r="E415" s="37">
        <f>'MEMÓRIA DE CÁLCULO'!J897</f>
        <v>2</v>
      </c>
      <c r="F415" s="38" t="s">
        <v>31</v>
      </c>
      <c r="G415" s="23"/>
      <c r="H415" s="23"/>
      <c r="I415" s="177"/>
      <c r="J415" s="285">
        <f t="shared" si="13"/>
        <v>0</v>
      </c>
      <c r="K415" s="286"/>
    </row>
    <row r="416" spans="1:11" ht="16.2" thickBot="1" x14ac:dyDescent="0.35">
      <c r="A416" s="322" t="s">
        <v>7</v>
      </c>
      <c r="B416" s="323"/>
      <c r="C416" s="323"/>
      <c r="D416" s="323"/>
      <c r="E416" s="323"/>
      <c r="F416" s="323"/>
      <c r="G416" s="323"/>
      <c r="H416" s="323"/>
      <c r="I416" s="323"/>
      <c r="J416" s="324"/>
      <c r="K416" s="39">
        <f>SUM(J405:K415)</f>
        <v>0</v>
      </c>
    </row>
    <row r="417" spans="1:11" ht="16.2" thickBot="1" x14ac:dyDescent="0.35">
      <c r="A417" s="291" t="s">
        <v>48</v>
      </c>
      <c r="B417" s="292"/>
      <c r="C417" s="292"/>
      <c r="D417" s="292"/>
      <c r="E417" s="292"/>
      <c r="F417" s="292"/>
      <c r="G417" s="292"/>
      <c r="H417" s="292"/>
      <c r="I417" s="292"/>
      <c r="J417" s="292"/>
      <c r="K417" s="293"/>
    </row>
    <row r="418" spans="1:11" x14ac:dyDescent="0.3">
      <c r="A418" s="182">
        <v>16</v>
      </c>
      <c r="B418" s="191" t="s">
        <v>10</v>
      </c>
      <c r="C418" s="191">
        <v>190000</v>
      </c>
      <c r="D418" s="294" t="s">
        <v>49</v>
      </c>
      <c r="E418" s="295"/>
      <c r="F418" s="295"/>
      <c r="G418" s="295"/>
      <c r="H418" s="295"/>
      <c r="I418" s="295"/>
      <c r="J418" s="295"/>
      <c r="K418" s="296"/>
    </row>
    <row r="419" spans="1:11" x14ac:dyDescent="0.3">
      <c r="A419" s="183" t="s">
        <v>886</v>
      </c>
      <c r="B419" s="34" t="s">
        <v>10</v>
      </c>
      <c r="C419" s="34">
        <v>190102</v>
      </c>
      <c r="D419" s="35" t="s">
        <v>885</v>
      </c>
      <c r="E419" s="33">
        <f>'MEMÓRIA DE CÁLCULO'!J902</f>
        <v>119.12999999999997</v>
      </c>
      <c r="F419" s="34" t="s">
        <v>534</v>
      </c>
      <c r="G419" s="271"/>
      <c r="H419" s="271"/>
      <c r="I419" s="177"/>
      <c r="J419" s="285">
        <f>(G419+H419)*E419*1.2665</f>
        <v>0</v>
      </c>
      <c r="K419" s="286"/>
    </row>
    <row r="420" spans="1:11" ht="16.2" thickBot="1" x14ac:dyDescent="0.35">
      <c r="A420" s="180" t="s">
        <v>887</v>
      </c>
      <c r="B420" s="38" t="s">
        <v>10</v>
      </c>
      <c r="C420" s="38">
        <v>190201</v>
      </c>
      <c r="D420" s="36" t="s">
        <v>894</v>
      </c>
      <c r="E420" s="37">
        <f>'MEMÓRIA DE CÁLCULO'!J911</f>
        <v>40.1</v>
      </c>
      <c r="F420" s="34" t="s">
        <v>534</v>
      </c>
      <c r="G420" s="23"/>
      <c r="H420" s="23"/>
      <c r="I420" s="177"/>
      <c r="J420" s="285">
        <f>(G420+H420)*E420*1.2665</f>
        <v>0</v>
      </c>
      <c r="K420" s="286"/>
    </row>
    <row r="421" spans="1:11" ht="16.2" thickBot="1" x14ac:dyDescent="0.35">
      <c r="A421" s="322" t="s">
        <v>7</v>
      </c>
      <c r="B421" s="323"/>
      <c r="C421" s="323"/>
      <c r="D421" s="323"/>
      <c r="E421" s="323"/>
      <c r="F421" s="323"/>
      <c r="G421" s="323"/>
      <c r="H421" s="323"/>
      <c r="I421" s="323"/>
      <c r="J421" s="324"/>
      <c r="K421" s="39">
        <f>SUM(J419:K420)</f>
        <v>0</v>
      </c>
    </row>
    <row r="422" spans="1:11" ht="16.2" thickBot="1" x14ac:dyDescent="0.35">
      <c r="A422" s="291" t="s">
        <v>50</v>
      </c>
      <c r="B422" s="292"/>
      <c r="C422" s="292"/>
      <c r="D422" s="292"/>
      <c r="E422" s="292"/>
      <c r="F422" s="292"/>
      <c r="G422" s="292"/>
      <c r="H422" s="292"/>
      <c r="I422" s="292"/>
      <c r="J422" s="292"/>
      <c r="K422" s="293"/>
    </row>
    <row r="423" spans="1:11" x14ac:dyDescent="0.3">
      <c r="A423" s="182">
        <v>17</v>
      </c>
      <c r="B423" s="191" t="s">
        <v>10</v>
      </c>
      <c r="C423" s="191">
        <v>200000</v>
      </c>
      <c r="D423" s="294" t="s">
        <v>51</v>
      </c>
      <c r="E423" s="295"/>
      <c r="F423" s="295"/>
      <c r="G423" s="295"/>
      <c r="H423" s="295"/>
      <c r="I423" s="295"/>
      <c r="J423" s="295"/>
      <c r="K423" s="296"/>
    </row>
    <row r="424" spans="1:11" x14ac:dyDescent="0.3">
      <c r="A424" s="183" t="s">
        <v>703</v>
      </c>
      <c r="B424" s="34" t="s">
        <v>10</v>
      </c>
      <c r="C424" s="34">
        <v>200101</v>
      </c>
      <c r="D424" s="35" t="s">
        <v>700</v>
      </c>
      <c r="E424" s="33">
        <f>'MEMÓRIA DE CÁLCULO'!J952</f>
        <v>6379.2723999999998</v>
      </c>
      <c r="F424" s="34" t="s">
        <v>16</v>
      </c>
      <c r="G424" s="271"/>
      <c r="H424" s="271"/>
      <c r="I424" s="177"/>
      <c r="J424" s="285">
        <f>(G424+H424)*E424*1.2665</f>
        <v>0</v>
      </c>
      <c r="K424" s="286"/>
    </row>
    <row r="425" spans="1:11" x14ac:dyDescent="0.3">
      <c r="A425" s="183" t="s">
        <v>704</v>
      </c>
      <c r="B425" s="34" t="s">
        <v>10</v>
      </c>
      <c r="C425" s="34">
        <v>200201</v>
      </c>
      <c r="D425" s="35" t="s">
        <v>1554</v>
      </c>
      <c r="E425" s="33">
        <f>'MEMÓRIA DE CÁLCULO'!J958</f>
        <v>1258.6976000000004</v>
      </c>
      <c r="F425" s="34" t="s">
        <v>534</v>
      </c>
      <c r="G425" s="271"/>
      <c r="H425" s="271"/>
      <c r="I425" s="177"/>
      <c r="J425" s="285">
        <f>(G425+H425)*E425*1.2665</f>
        <v>0</v>
      </c>
      <c r="K425" s="286"/>
    </row>
    <row r="426" spans="1:11" x14ac:dyDescent="0.3">
      <c r="A426" s="183" t="s">
        <v>705</v>
      </c>
      <c r="B426" s="34" t="s">
        <v>10</v>
      </c>
      <c r="C426" s="34">
        <v>200403</v>
      </c>
      <c r="D426" s="35" t="s">
        <v>1553</v>
      </c>
      <c r="E426" s="33">
        <f>'MEMÓRIA DE CÁLCULO'!J961</f>
        <v>5120.5747999999994</v>
      </c>
      <c r="F426" s="34" t="s">
        <v>534</v>
      </c>
      <c r="G426" s="271"/>
      <c r="H426" s="271"/>
      <c r="I426" s="177"/>
      <c r="J426" s="285">
        <f>(G426+H426)*E426*1.2665</f>
        <v>0</v>
      </c>
      <c r="K426" s="286"/>
    </row>
    <row r="427" spans="1:11" x14ac:dyDescent="0.3">
      <c r="A427" s="183" t="s">
        <v>706</v>
      </c>
      <c r="B427" s="34" t="s">
        <v>10</v>
      </c>
      <c r="C427" s="34">
        <v>201003</v>
      </c>
      <c r="D427" s="35" t="s">
        <v>701</v>
      </c>
      <c r="E427" s="33">
        <f>'MEMÓRIA DE CÁLCULO'!J966</f>
        <v>402.37759999999997</v>
      </c>
      <c r="F427" s="34" t="s">
        <v>534</v>
      </c>
      <c r="G427" s="271"/>
      <c r="H427" s="271"/>
      <c r="I427" s="177"/>
      <c r="J427" s="285">
        <f>(G427+H427)*E427*1.2665</f>
        <v>0</v>
      </c>
      <c r="K427" s="286"/>
    </row>
    <row r="428" spans="1:11" ht="16.2" thickBot="1" x14ac:dyDescent="0.35">
      <c r="A428" s="180" t="s">
        <v>707</v>
      </c>
      <c r="B428" s="38" t="s">
        <v>10</v>
      </c>
      <c r="C428" s="38">
        <v>201302</v>
      </c>
      <c r="D428" s="36" t="s">
        <v>702</v>
      </c>
      <c r="E428" s="37">
        <f>'MEMÓRIA DE CÁLCULO'!J1056</f>
        <v>856.32000000000039</v>
      </c>
      <c r="F428" s="34" t="s">
        <v>534</v>
      </c>
      <c r="G428" s="23"/>
      <c r="H428" s="23"/>
      <c r="I428" s="177"/>
      <c r="J428" s="285">
        <f>(G428+H428)*E428*1.2665</f>
        <v>0</v>
      </c>
      <c r="K428" s="286"/>
    </row>
    <row r="429" spans="1:11" ht="16.2" thickBot="1" x14ac:dyDescent="0.35">
      <c r="A429" s="322" t="s">
        <v>7</v>
      </c>
      <c r="B429" s="323"/>
      <c r="C429" s="323"/>
      <c r="D429" s="323"/>
      <c r="E429" s="323"/>
      <c r="F429" s="323"/>
      <c r="G429" s="323"/>
      <c r="H429" s="323"/>
      <c r="I429" s="323"/>
      <c r="J429" s="324"/>
      <c r="K429" s="39">
        <f>SUM(J424:K428)</f>
        <v>0</v>
      </c>
    </row>
    <row r="430" spans="1:11" ht="16.2" thickBot="1" x14ac:dyDescent="0.35">
      <c r="A430" s="291" t="s">
        <v>52</v>
      </c>
      <c r="B430" s="292"/>
      <c r="C430" s="292"/>
      <c r="D430" s="292"/>
      <c r="E430" s="292"/>
      <c r="F430" s="292"/>
      <c r="G430" s="292"/>
      <c r="H430" s="292"/>
      <c r="I430" s="292"/>
      <c r="J430" s="292"/>
      <c r="K430" s="293"/>
    </row>
    <row r="431" spans="1:11" x14ac:dyDescent="0.3">
      <c r="A431" s="182">
        <v>18</v>
      </c>
      <c r="B431" s="191" t="s">
        <v>10</v>
      </c>
      <c r="C431" s="190">
        <v>210000</v>
      </c>
      <c r="D431" s="313" t="s">
        <v>53</v>
      </c>
      <c r="E431" s="314"/>
      <c r="F431" s="314"/>
      <c r="G431" s="314"/>
      <c r="H431" s="314"/>
      <c r="I431" s="314"/>
      <c r="J431" s="314"/>
      <c r="K431" s="315"/>
    </row>
    <row r="432" spans="1:11" x14ac:dyDescent="0.3">
      <c r="A432" s="183" t="s">
        <v>902</v>
      </c>
      <c r="B432" s="34" t="s">
        <v>10</v>
      </c>
      <c r="C432" s="284">
        <v>210498</v>
      </c>
      <c r="D432" s="32" t="s">
        <v>900</v>
      </c>
      <c r="E432" s="33">
        <f>'MEMÓRIA DE CÁLCULO'!J1064</f>
        <v>381.7</v>
      </c>
      <c r="F432" s="34" t="s">
        <v>16</v>
      </c>
      <c r="G432" s="271"/>
      <c r="H432" s="271"/>
      <c r="I432" s="177"/>
      <c r="J432" s="285">
        <f>(G432+H432)*E432*1.2665</f>
        <v>0</v>
      </c>
      <c r="K432" s="286"/>
    </row>
    <row r="433" spans="1:11" ht="16.2" thickBot="1" x14ac:dyDescent="0.35">
      <c r="A433" s="180" t="s">
        <v>903</v>
      </c>
      <c r="B433" s="38" t="s">
        <v>10</v>
      </c>
      <c r="C433" s="57">
        <v>210515</v>
      </c>
      <c r="D433" s="60" t="s">
        <v>901</v>
      </c>
      <c r="E433" s="37">
        <f>'MEMÓRIA DE CÁLCULO'!J1130</f>
        <v>730.53999999999974</v>
      </c>
      <c r="F433" s="38" t="s">
        <v>16</v>
      </c>
      <c r="G433" s="23"/>
      <c r="H433" s="23"/>
      <c r="I433" s="177"/>
      <c r="J433" s="285">
        <f>(G433+H433)*E433*1.2665</f>
        <v>0</v>
      </c>
      <c r="K433" s="286"/>
    </row>
    <row r="434" spans="1:11" ht="16.2" thickBot="1" x14ac:dyDescent="0.35">
      <c r="A434" s="322" t="s">
        <v>7</v>
      </c>
      <c r="B434" s="323"/>
      <c r="C434" s="323"/>
      <c r="D434" s="323"/>
      <c r="E434" s="323"/>
      <c r="F434" s="323"/>
      <c r="G434" s="323"/>
      <c r="H434" s="323"/>
      <c r="I434" s="323"/>
      <c r="J434" s="324"/>
      <c r="K434" s="39">
        <f>SUM(J432:K433)</f>
        <v>0</v>
      </c>
    </row>
    <row r="435" spans="1:11" ht="16.2" thickBot="1" x14ac:dyDescent="0.35">
      <c r="A435" s="291" t="s">
        <v>54</v>
      </c>
      <c r="B435" s="292"/>
      <c r="C435" s="292"/>
      <c r="D435" s="318"/>
      <c r="E435" s="318"/>
      <c r="F435" s="318"/>
      <c r="G435" s="318"/>
      <c r="H435" s="318"/>
      <c r="I435" s="318"/>
      <c r="J435" s="318"/>
      <c r="K435" s="319"/>
    </row>
    <row r="436" spans="1:11" x14ac:dyDescent="0.3">
      <c r="A436" s="182">
        <v>19</v>
      </c>
      <c r="B436" s="191" t="s">
        <v>10</v>
      </c>
      <c r="C436" s="191">
        <v>220000</v>
      </c>
      <c r="D436" s="320" t="s">
        <v>55</v>
      </c>
      <c r="E436" s="320"/>
      <c r="F436" s="320"/>
      <c r="G436" s="320"/>
      <c r="H436" s="320"/>
      <c r="I436" s="320"/>
      <c r="J436" s="320"/>
      <c r="K436" s="321"/>
    </row>
    <row r="437" spans="1:11" x14ac:dyDescent="0.3">
      <c r="A437" s="185" t="s">
        <v>1023</v>
      </c>
      <c r="B437" s="194" t="s">
        <v>10</v>
      </c>
      <c r="C437" s="194">
        <v>220050</v>
      </c>
      <c r="D437" s="35" t="s">
        <v>1021</v>
      </c>
      <c r="E437" s="33">
        <f>'MEMÓRIA DE CÁLCULO'!J1135</f>
        <v>433.89500000000004</v>
      </c>
      <c r="F437" s="34" t="s">
        <v>16</v>
      </c>
      <c r="G437" s="271"/>
      <c r="H437" s="271"/>
      <c r="I437" s="177"/>
      <c r="J437" s="285">
        <f>(G437+H437)*E437*1.2665</f>
        <v>0</v>
      </c>
      <c r="K437" s="286"/>
    </row>
    <row r="438" spans="1:11" x14ac:dyDescent="0.3">
      <c r="A438" s="185" t="s">
        <v>1024</v>
      </c>
      <c r="B438" s="194" t="s">
        <v>10</v>
      </c>
      <c r="C438" s="194">
        <v>220201</v>
      </c>
      <c r="D438" s="35" t="s">
        <v>1022</v>
      </c>
      <c r="E438" s="33">
        <f>'MEMÓRIA DE CÁLCULO'!J1138</f>
        <v>433.89500000000004</v>
      </c>
      <c r="F438" s="34" t="s">
        <v>16</v>
      </c>
      <c r="G438" s="271"/>
      <c r="H438" s="271"/>
      <c r="I438" s="177"/>
      <c r="J438" s="285">
        <f>(G438+H438)*E438*1.2665</f>
        <v>0</v>
      </c>
      <c r="K438" s="286"/>
    </row>
    <row r="439" spans="1:11" ht="31.2" x14ac:dyDescent="0.3">
      <c r="A439" s="185" t="s">
        <v>1025</v>
      </c>
      <c r="B439" s="194" t="s">
        <v>10</v>
      </c>
      <c r="C439" s="34">
        <v>220100</v>
      </c>
      <c r="D439" s="35" t="s">
        <v>1017</v>
      </c>
      <c r="E439" s="33">
        <f>'MEMÓRIA DE CÁLCULO'!J1147</f>
        <v>1436.2629999999999</v>
      </c>
      <c r="F439" s="34" t="s">
        <v>534</v>
      </c>
      <c r="G439" s="271"/>
      <c r="H439" s="271"/>
      <c r="I439" s="177"/>
      <c r="J439" s="285">
        <f>(G439+H439)*E439*1.2665</f>
        <v>0</v>
      </c>
      <c r="K439" s="286"/>
    </row>
    <row r="440" spans="1:11" ht="31.2" x14ac:dyDescent="0.3">
      <c r="A440" s="185" t="s">
        <v>1026</v>
      </c>
      <c r="B440" s="194" t="s">
        <v>10</v>
      </c>
      <c r="C440" s="34">
        <v>221101</v>
      </c>
      <c r="D440" s="35" t="s">
        <v>1018</v>
      </c>
      <c r="E440" s="33">
        <f>'MEMÓRIA DE CÁLCULO'!J1218</f>
        <v>2049.8399999999997</v>
      </c>
      <c r="F440" s="34" t="s">
        <v>16</v>
      </c>
      <c r="G440" s="271"/>
      <c r="H440" s="271"/>
      <c r="I440" s="177"/>
      <c r="J440" s="285">
        <f>(G440+H440)*E440*1.2665</f>
        <v>0</v>
      </c>
      <c r="K440" s="286"/>
    </row>
    <row r="441" spans="1:11" ht="16.2" thickBot="1" x14ac:dyDescent="0.35">
      <c r="A441" s="186" t="s">
        <v>1027</v>
      </c>
      <c r="B441" s="195" t="s">
        <v>10</v>
      </c>
      <c r="C441" s="38">
        <v>221102</v>
      </c>
      <c r="D441" s="36" t="s">
        <v>1019</v>
      </c>
      <c r="E441" s="37">
        <f>'MEMÓRIA DE CÁLCULO'!J1314</f>
        <v>805.71999999999946</v>
      </c>
      <c r="F441" s="38" t="s">
        <v>31</v>
      </c>
      <c r="G441" s="23"/>
      <c r="H441" s="23"/>
      <c r="I441" s="177"/>
      <c r="J441" s="285">
        <f>(G441+H441)*E441*1.2665</f>
        <v>0</v>
      </c>
      <c r="K441" s="286"/>
    </row>
    <row r="442" spans="1:11" ht="16.2" thickBot="1" x14ac:dyDescent="0.35">
      <c r="A442" s="322" t="s">
        <v>7</v>
      </c>
      <c r="B442" s="323"/>
      <c r="C442" s="323"/>
      <c r="D442" s="323"/>
      <c r="E442" s="323"/>
      <c r="F442" s="323"/>
      <c r="G442" s="323"/>
      <c r="H442" s="323"/>
      <c r="I442" s="323"/>
      <c r="J442" s="324"/>
      <c r="K442" s="39">
        <f>SUM(J437:K441)</f>
        <v>0</v>
      </c>
    </row>
    <row r="443" spans="1:11" ht="16.2" thickBot="1" x14ac:dyDescent="0.35">
      <c r="A443" s="187" t="s">
        <v>56</v>
      </c>
      <c r="B443" s="63"/>
      <c r="C443" s="63"/>
      <c r="D443" s="61"/>
      <c r="E443" s="62"/>
      <c r="F443" s="63"/>
      <c r="G443" s="64"/>
      <c r="H443" s="64"/>
      <c r="I443" s="175"/>
      <c r="J443" s="64"/>
      <c r="K443" s="65"/>
    </row>
    <row r="444" spans="1:11" x14ac:dyDescent="0.3">
      <c r="A444" s="182">
        <v>20</v>
      </c>
      <c r="B444" s="191" t="s">
        <v>10</v>
      </c>
      <c r="C444" s="191">
        <v>230000</v>
      </c>
      <c r="D444" s="294" t="s">
        <v>57</v>
      </c>
      <c r="E444" s="295"/>
      <c r="F444" s="295"/>
      <c r="G444" s="295"/>
      <c r="H444" s="295"/>
      <c r="I444" s="295"/>
      <c r="J444" s="295"/>
      <c r="K444" s="296"/>
    </row>
    <row r="445" spans="1:11" x14ac:dyDescent="0.3">
      <c r="A445" s="183" t="s">
        <v>942</v>
      </c>
      <c r="B445" s="34" t="s">
        <v>10</v>
      </c>
      <c r="C445" s="34">
        <v>230101</v>
      </c>
      <c r="D445" s="35" t="s">
        <v>938</v>
      </c>
      <c r="E445" s="33">
        <f>'MEMÓRIA DE CÁLCULO'!J1320</f>
        <v>57</v>
      </c>
      <c r="F445" s="34" t="s">
        <v>1517</v>
      </c>
      <c r="G445" s="271"/>
      <c r="H445" s="271"/>
      <c r="I445" s="177"/>
      <c r="J445" s="285">
        <f>(G445+H445)*E445*1.2665</f>
        <v>0</v>
      </c>
      <c r="K445" s="286"/>
    </row>
    <row r="446" spans="1:11" x14ac:dyDescent="0.3">
      <c r="A446" s="183" t="s">
        <v>943</v>
      </c>
      <c r="B446" s="34" t="s">
        <v>10</v>
      </c>
      <c r="C446" s="34">
        <v>230174</v>
      </c>
      <c r="D446" s="35" t="s">
        <v>939</v>
      </c>
      <c r="E446" s="33">
        <f>'MEMÓRIA DE CÁLCULO'!J1331</f>
        <v>14</v>
      </c>
      <c r="F446" s="34" t="s">
        <v>1517</v>
      </c>
      <c r="G446" s="271"/>
      <c r="H446" s="271"/>
      <c r="I446" s="177"/>
      <c r="J446" s="285">
        <f>(G446+H446)*E446*1.2665</f>
        <v>0</v>
      </c>
      <c r="K446" s="286"/>
    </row>
    <row r="447" spans="1:11" x14ac:dyDescent="0.3">
      <c r="A447" s="183" t="s">
        <v>944</v>
      </c>
      <c r="B447" s="34" t="s">
        <v>10</v>
      </c>
      <c r="C447" s="34">
        <v>230176</v>
      </c>
      <c r="D447" s="35" t="s">
        <v>940</v>
      </c>
      <c r="E447" s="33">
        <f>'MEMÓRIA DE CÁLCULO'!J1342</f>
        <v>14</v>
      </c>
      <c r="F447" s="34" t="s">
        <v>1517</v>
      </c>
      <c r="G447" s="271"/>
      <c r="H447" s="271"/>
      <c r="I447" s="177"/>
      <c r="J447" s="285">
        <f>(G447+H447)*E447*1.2665</f>
        <v>0</v>
      </c>
      <c r="K447" s="286"/>
    </row>
    <row r="448" spans="1:11" ht="16.2" thickBot="1" x14ac:dyDescent="0.35">
      <c r="A448" s="180" t="s">
        <v>945</v>
      </c>
      <c r="B448" s="38" t="s">
        <v>10</v>
      </c>
      <c r="C448" s="38">
        <v>230201</v>
      </c>
      <c r="D448" s="36" t="s">
        <v>941</v>
      </c>
      <c r="E448" s="37">
        <f>'MEMÓRIA DE CÁLCULO'!J1346</f>
        <v>171</v>
      </c>
      <c r="F448" s="34" t="s">
        <v>1517</v>
      </c>
      <c r="G448" s="23"/>
      <c r="H448" s="23"/>
      <c r="I448" s="177"/>
      <c r="J448" s="285">
        <f>(G448+H448)*E448*1.2665</f>
        <v>0</v>
      </c>
      <c r="K448" s="286"/>
    </row>
    <row r="449" spans="1:11" ht="16.2" thickBot="1" x14ac:dyDescent="0.35">
      <c r="A449" s="322" t="s">
        <v>7</v>
      </c>
      <c r="B449" s="323"/>
      <c r="C449" s="323"/>
      <c r="D449" s="323"/>
      <c r="E449" s="323"/>
      <c r="F449" s="323"/>
      <c r="G449" s="323"/>
      <c r="H449" s="323"/>
      <c r="I449" s="323"/>
      <c r="J449" s="324"/>
      <c r="K449" s="39">
        <f>SUM(J445:K448)</f>
        <v>0</v>
      </c>
    </row>
    <row r="450" spans="1:11" ht="16.2" thickBot="1" x14ac:dyDescent="0.35">
      <c r="A450" s="300" t="s">
        <v>58</v>
      </c>
      <c r="B450" s="301"/>
      <c r="C450" s="301"/>
      <c r="D450" s="301"/>
      <c r="E450" s="301"/>
      <c r="F450" s="301"/>
      <c r="G450" s="301"/>
      <c r="H450" s="301"/>
      <c r="I450" s="301"/>
      <c r="J450" s="301"/>
      <c r="K450" s="302"/>
    </row>
    <row r="451" spans="1:11" x14ac:dyDescent="0.3">
      <c r="A451" s="182">
        <v>21</v>
      </c>
      <c r="B451" s="191" t="s">
        <v>10</v>
      </c>
      <c r="C451" s="191">
        <v>250000</v>
      </c>
      <c r="D451" s="294" t="s">
        <v>59</v>
      </c>
      <c r="E451" s="295"/>
      <c r="F451" s="295"/>
      <c r="G451" s="295"/>
      <c r="H451" s="295"/>
      <c r="I451" s="295"/>
      <c r="J451" s="295"/>
      <c r="K451" s="296"/>
    </row>
    <row r="452" spans="1:11" x14ac:dyDescent="0.3">
      <c r="A452" s="183" t="s">
        <v>966</v>
      </c>
      <c r="B452" s="34" t="s">
        <v>10</v>
      </c>
      <c r="C452" s="34">
        <v>250101</v>
      </c>
      <c r="D452" s="35" t="s">
        <v>960</v>
      </c>
      <c r="E452" s="33">
        <f>'MEMÓRIA DE CÁLCULO'!J1351</f>
        <v>960</v>
      </c>
      <c r="F452" s="34" t="s">
        <v>961</v>
      </c>
      <c r="G452" s="271"/>
      <c r="H452" s="271"/>
      <c r="I452" s="177"/>
      <c r="J452" s="285">
        <f>(G452+H452)*E452*1.2665</f>
        <v>0</v>
      </c>
      <c r="K452" s="286"/>
    </row>
    <row r="453" spans="1:11" x14ac:dyDescent="0.3">
      <c r="A453" s="183" t="s">
        <v>967</v>
      </c>
      <c r="B453" s="34" t="s">
        <v>10</v>
      </c>
      <c r="C453" s="34">
        <v>250102</v>
      </c>
      <c r="D453" s="35" t="s">
        <v>962</v>
      </c>
      <c r="E453" s="33">
        <f>'MEMÓRIA DE CÁLCULO'!J1354</f>
        <v>1920</v>
      </c>
      <c r="F453" s="34" t="s">
        <v>961</v>
      </c>
      <c r="G453" s="271"/>
      <c r="H453" s="271"/>
      <c r="I453" s="177"/>
      <c r="J453" s="285">
        <f>(G453+H453)*E453*1.2665</f>
        <v>0</v>
      </c>
      <c r="K453" s="286"/>
    </row>
    <row r="454" spans="1:11" x14ac:dyDescent="0.3">
      <c r="A454" s="183" t="s">
        <v>968</v>
      </c>
      <c r="B454" s="34" t="s">
        <v>10</v>
      </c>
      <c r="C454" s="34">
        <v>250103</v>
      </c>
      <c r="D454" s="35" t="s">
        <v>963</v>
      </c>
      <c r="E454" s="33">
        <f>'MEMÓRIA DE CÁLCULO'!J1357</f>
        <v>1920</v>
      </c>
      <c r="F454" s="34" t="s">
        <v>961</v>
      </c>
      <c r="G454" s="271"/>
      <c r="H454" s="271"/>
      <c r="I454" s="177"/>
      <c r="J454" s="285">
        <f>(G454+H454)*E454*1.2665</f>
        <v>0</v>
      </c>
      <c r="K454" s="286"/>
    </row>
    <row r="455" spans="1:11" ht="16.2" thickBot="1" x14ac:dyDescent="0.35">
      <c r="A455" s="180" t="s">
        <v>969</v>
      </c>
      <c r="B455" s="38" t="s">
        <v>10</v>
      </c>
      <c r="C455" s="38">
        <v>250110</v>
      </c>
      <c r="D455" s="36" t="s">
        <v>965</v>
      </c>
      <c r="E455" s="37">
        <f>'MEMÓRIA DE CÁLCULO'!J1360</f>
        <v>3840</v>
      </c>
      <c r="F455" s="34" t="s">
        <v>961</v>
      </c>
      <c r="G455" s="23"/>
      <c r="H455" s="23"/>
      <c r="I455" s="177"/>
      <c r="J455" s="285">
        <f>(G455+H455)*E455*1.2665</f>
        <v>0</v>
      </c>
      <c r="K455" s="286"/>
    </row>
    <row r="456" spans="1:11" ht="16.2" thickBot="1" x14ac:dyDescent="0.35">
      <c r="A456" s="322" t="s">
        <v>7</v>
      </c>
      <c r="B456" s="323"/>
      <c r="C456" s="323"/>
      <c r="D456" s="323"/>
      <c r="E456" s="323"/>
      <c r="F456" s="323"/>
      <c r="G456" s="323"/>
      <c r="H456" s="323"/>
      <c r="I456" s="323"/>
      <c r="J456" s="324"/>
      <c r="K456" s="39">
        <f>SUM(J452:K455)</f>
        <v>0</v>
      </c>
    </row>
    <row r="457" spans="1:11" ht="16.2" thickBot="1" x14ac:dyDescent="0.35">
      <c r="A457" s="291" t="s">
        <v>60</v>
      </c>
      <c r="B457" s="292"/>
      <c r="C457" s="292"/>
      <c r="D457" s="292"/>
      <c r="E457" s="292"/>
      <c r="F457" s="292"/>
      <c r="G457" s="292"/>
      <c r="H457" s="292"/>
      <c r="I457" s="292"/>
      <c r="J457" s="292"/>
      <c r="K457" s="293"/>
    </row>
    <row r="458" spans="1:11" x14ac:dyDescent="0.3">
      <c r="A458" s="182">
        <v>22</v>
      </c>
      <c r="B458" s="191" t="s">
        <v>10</v>
      </c>
      <c r="C458" s="191">
        <v>260000</v>
      </c>
      <c r="D458" s="294" t="s">
        <v>61</v>
      </c>
      <c r="E458" s="295"/>
      <c r="F458" s="295"/>
      <c r="G458" s="295"/>
      <c r="H458" s="295"/>
      <c r="I458" s="295"/>
      <c r="J458" s="295"/>
      <c r="K458" s="296"/>
    </row>
    <row r="459" spans="1:11" x14ac:dyDescent="0.3">
      <c r="A459" s="183" t="s">
        <v>983</v>
      </c>
      <c r="B459" s="34" t="s">
        <v>10</v>
      </c>
      <c r="C459" s="34">
        <v>260204</v>
      </c>
      <c r="D459" s="35" t="s">
        <v>972</v>
      </c>
      <c r="E459" s="33">
        <f>'MEMÓRIA DE CÁLCULO'!J1366</f>
        <v>176.98200000000003</v>
      </c>
      <c r="F459" s="34" t="s">
        <v>16</v>
      </c>
      <c r="G459" s="271"/>
      <c r="H459" s="271"/>
      <c r="I459" s="177"/>
      <c r="J459" s="285">
        <f t="shared" ref="J459:J468" si="14">(G459+H459)*E459*1.2665</f>
        <v>0</v>
      </c>
      <c r="K459" s="286"/>
    </row>
    <row r="460" spans="1:11" x14ac:dyDescent="0.3">
      <c r="A460" s="183" t="s">
        <v>984</v>
      </c>
      <c r="B460" s="34" t="s">
        <v>10</v>
      </c>
      <c r="C460" s="34">
        <v>261000</v>
      </c>
      <c r="D460" s="35" t="s">
        <v>976</v>
      </c>
      <c r="E460" s="33">
        <f>'MEMÓRIA DE CÁLCULO'!J1395</f>
        <v>2067.4649999999997</v>
      </c>
      <c r="F460" s="34" t="s">
        <v>16</v>
      </c>
      <c r="G460" s="271"/>
      <c r="H460" s="271"/>
      <c r="I460" s="177"/>
      <c r="J460" s="285">
        <f t="shared" si="14"/>
        <v>0</v>
      </c>
      <c r="K460" s="286"/>
    </row>
    <row r="461" spans="1:11" x14ac:dyDescent="0.3">
      <c r="A461" s="183" t="s">
        <v>985</v>
      </c>
      <c r="B461" s="34" t="s">
        <v>10</v>
      </c>
      <c r="C461" s="34">
        <v>261008</v>
      </c>
      <c r="D461" s="35" t="s">
        <v>973</v>
      </c>
      <c r="E461" s="33">
        <f>'MEMÓRIA DE CÁLCULO'!J1407</f>
        <v>956.02</v>
      </c>
      <c r="F461" s="34" t="s">
        <v>534</v>
      </c>
      <c r="G461" s="271"/>
      <c r="H461" s="271"/>
      <c r="I461" s="177"/>
      <c r="J461" s="285">
        <f t="shared" si="14"/>
        <v>0</v>
      </c>
      <c r="K461" s="286"/>
    </row>
    <row r="462" spans="1:11" x14ac:dyDescent="0.3">
      <c r="A462" s="183" t="s">
        <v>986</v>
      </c>
      <c r="B462" s="34" t="s">
        <v>10</v>
      </c>
      <c r="C462" s="34">
        <v>261300</v>
      </c>
      <c r="D462" s="35" t="s">
        <v>974</v>
      </c>
      <c r="E462" s="33">
        <f>'MEMÓRIA DE CÁLCULO'!J1442</f>
        <v>2444.4795999999992</v>
      </c>
      <c r="F462" s="34" t="s">
        <v>534</v>
      </c>
      <c r="G462" s="271"/>
      <c r="H462" s="271"/>
      <c r="I462" s="177"/>
      <c r="J462" s="285">
        <f t="shared" si="14"/>
        <v>0</v>
      </c>
      <c r="K462" s="286"/>
    </row>
    <row r="463" spans="1:11" x14ac:dyDescent="0.3">
      <c r="A463" s="183" t="s">
        <v>987</v>
      </c>
      <c r="B463" s="34" t="s">
        <v>10</v>
      </c>
      <c r="C463" s="34">
        <v>261302</v>
      </c>
      <c r="D463" s="35" t="s">
        <v>977</v>
      </c>
      <c r="E463" s="33">
        <f>'MEMÓRIA DE CÁLCULO'!J1479</f>
        <v>2775.8195999999994</v>
      </c>
      <c r="F463" s="34" t="s">
        <v>534</v>
      </c>
      <c r="G463" s="271"/>
      <c r="H463" s="271"/>
      <c r="I463" s="177"/>
      <c r="J463" s="285">
        <f t="shared" si="14"/>
        <v>0</v>
      </c>
      <c r="K463" s="286"/>
    </row>
    <row r="464" spans="1:11" x14ac:dyDescent="0.3">
      <c r="A464" s="183" t="s">
        <v>988</v>
      </c>
      <c r="B464" s="34" t="s">
        <v>10</v>
      </c>
      <c r="C464" s="34">
        <v>261504</v>
      </c>
      <c r="D464" s="35" t="s">
        <v>1005</v>
      </c>
      <c r="E464" s="33">
        <f>'MEMÓRIA DE CÁLCULO'!J1492</f>
        <v>1055.56</v>
      </c>
      <c r="F464" s="34" t="s">
        <v>534</v>
      </c>
      <c r="G464" s="271"/>
      <c r="H464" s="271"/>
      <c r="I464" s="177"/>
      <c r="J464" s="285">
        <f t="shared" si="14"/>
        <v>0</v>
      </c>
      <c r="K464" s="286"/>
    </row>
    <row r="465" spans="1:11" x14ac:dyDescent="0.3">
      <c r="A465" s="183" t="s">
        <v>989</v>
      </c>
      <c r="B465" s="34" t="s">
        <v>10</v>
      </c>
      <c r="C465" s="34">
        <v>261548</v>
      </c>
      <c r="D465" s="35" t="s">
        <v>975</v>
      </c>
      <c r="E465" s="33">
        <f>'MEMÓRIA DE CÁLCULO'!J1507</f>
        <v>780.90000000000009</v>
      </c>
      <c r="F465" s="34" t="s">
        <v>534</v>
      </c>
      <c r="G465" s="271"/>
      <c r="H465" s="271"/>
      <c r="I465" s="237"/>
      <c r="J465" s="316">
        <f t="shared" si="14"/>
        <v>0</v>
      </c>
      <c r="K465" s="317"/>
    </row>
    <row r="466" spans="1:11" x14ac:dyDescent="0.3">
      <c r="A466" s="183" t="s">
        <v>990</v>
      </c>
      <c r="B466" s="34" t="s">
        <v>10</v>
      </c>
      <c r="C466" s="34">
        <v>261560</v>
      </c>
      <c r="D466" s="35" t="s">
        <v>1004</v>
      </c>
      <c r="E466" s="33">
        <f>'MEMÓRIA DE CÁLCULO'!J1511</f>
        <v>289.80000000000007</v>
      </c>
      <c r="F466" s="34" t="s">
        <v>534</v>
      </c>
      <c r="G466" s="271"/>
      <c r="H466" s="271"/>
      <c r="I466" s="237"/>
      <c r="J466" s="316">
        <f t="shared" si="14"/>
        <v>0</v>
      </c>
      <c r="K466" s="317"/>
    </row>
    <row r="467" spans="1:11" x14ac:dyDescent="0.3">
      <c r="A467" s="183" t="s">
        <v>991</v>
      </c>
      <c r="B467" s="34" t="s">
        <v>10</v>
      </c>
      <c r="C467" s="34">
        <v>261609</v>
      </c>
      <c r="D467" s="35" t="s">
        <v>978</v>
      </c>
      <c r="E467" s="33">
        <f>'MEMÓRIA DE CÁLCULO'!J1515</f>
        <v>857.94</v>
      </c>
      <c r="F467" s="34" t="s">
        <v>534</v>
      </c>
      <c r="G467" s="271"/>
      <c r="H467" s="271"/>
      <c r="I467" s="237"/>
      <c r="J467" s="316">
        <f t="shared" si="14"/>
        <v>0</v>
      </c>
      <c r="K467" s="317"/>
    </row>
    <row r="468" spans="1:11" x14ac:dyDescent="0.3">
      <c r="A468" s="183" t="s">
        <v>1006</v>
      </c>
      <c r="B468" s="34" t="s">
        <v>10</v>
      </c>
      <c r="C468" s="34">
        <v>261700</v>
      </c>
      <c r="D468" s="35" t="s">
        <v>979</v>
      </c>
      <c r="E468" s="33">
        <f>'MEMÓRIA DE CÁLCULO'!J1519</f>
        <v>349.52</v>
      </c>
      <c r="F468" s="34" t="s">
        <v>31</v>
      </c>
      <c r="G468" s="271"/>
      <c r="H468" s="271"/>
      <c r="I468" s="237"/>
      <c r="J468" s="316">
        <f t="shared" si="14"/>
        <v>0</v>
      </c>
      <c r="K468" s="317"/>
    </row>
    <row r="469" spans="1:11" x14ac:dyDescent="0.3">
      <c r="A469" s="183" t="s">
        <v>1007</v>
      </c>
      <c r="B469" s="34" t="s">
        <v>10</v>
      </c>
      <c r="C469" s="34">
        <v>261703</v>
      </c>
      <c r="D469" s="35" t="s">
        <v>980</v>
      </c>
      <c r="E469" s="33">
        <f>'MEMÓRIA DE CÁLCULO'!J1522</f>
        <v>433.89500000000004</v>
      </c>
      <c r="F469" s="34" t="s">
        <v>534</v>
      </c>
      <c r="G469" s="271"/>
      <c r="H469" s="271"/>
      <c r="I469" s="237"/>
      <c r="J469" s="316">
        <f>(G469+H469)*E469*1.2665</f>
        <v>0</v>
      </c>
      <c r="K469" s="317"/>
    </row>
    <row r="470" spans="1:11" x14ac:dyDescent="0.3">
      <c r="A470" s="183" t="s">
        <v>1525</v>
      </c>
      <c r="B470" s="34" t="s">
        <v>10</v>
      </c>
      <c r="C470" s="34">
        <v>261005</v>
      </c>
      <c r="D470" s="35" t="s">
        <v>1526</v>
      </c>
      <c r="E470" s="33">
        <f>'MEMÓRIA DE CÁLCULO'!J1537</f>
        <v>786.42500000000007</v>
      </c>
      <c r="F470" s="34" t="s">
        <v>16</v>
      </c>
      <c r="G470" s="271"/>
      <c r="H470" s="271"/>
      <c r="I470" s="237"/>
      <c r="J470" s="316">
        <f>(G470+H470)*E470*1.2665</f>
        <v>0</v>
      </c>
      <c r="K470" s="317"/>
    </row>
    <row r="471" spans="1:11" ht="16.2" thickBot="1" x14ac:dyDescent="0.35">
      <c r="A471" s="348" t="s">
        <v>7</v>
      </c>
      <c r="B471" s="349"/>
      <c r="C471" s="349"/>
      <c r="D471" s="349"/>
      <c r="E471" s="349"/>
      <c r="F471" s="349"/>
      <c r="G471" s="349"/>
      <c r="H471" s="349"/>
      <c r="I471" s="349"/>
      <c r="J471" s="350"/>
      <c r="K471" s="236">
        <f>SUM(J459:K470)</f>
        <v>0</v>
      </c>
    </row>
    <row r="472" spans="1:11" ht="16.2" thickBot="1" x14ac:dyDescent="0.35">
      <c r="A472" s="291" t="s">
        <v>62</v>
      </c>
      <c r="B472" s="292"/>
      <c r="C472" s="292"/>
      <c r="D472" s="292"/>
      <c r="E472" s="292"/>
      <c r="F472" s="292"/>
      <c r="G472" s="292"/>
      <c r="H472" s="292"/>
      <c r="I472" s="292"/>
      <c r="J472" s="292"/>
      <c r="K472" s="293"/>
    </row>
    <row r="473" spans="1:11" x14ac:dyDescent="0.3">
      <c r="A473" s="182">
        <v>23</v>
      </c>
      <c r="B473" s="191" t="s">
        <v>10</v>
      </c>
      <c r="C473" s="191">
        <v>270000</v>
      </c>
      <c r="D473" s="294" t="s">
        <v>63</v>
      </c>
      <c r="E473" s="295"/>
      <c r="F473" s="295"/>
      <c r="G473" s="295"/>
      <c r="H473" s="295"/>
      <c r="I473" s="295"/>
      <c r="J473" s="295"/>
      <c r="K473" s="296"/>
    </row>
    <row r="474" spans="1:11" ht="31.2" x14ac:dyDescent="0.3">
      <c r="A474" s="183" t="s">
        <v>1068</v>
      </c>
      <c r="B474" s="34" t="s">
        <v>10</v>
      </c>
      <c r="C474" s="34">
        <v>270105</v>
      </c>
      <c r="D474" s="35" t="s">
        <v>1054</v>
      </c>
      <c r="E474" s="33">
        <f>'MEMÓRIA DE CÁLCULO'!J1542</f>
        <v>924</v>
      </c>
      <c r="F474" s="34" t="s">
        <v>16</v>
      </c>
      <c r="G474" s="271"/>
      <c r="H474" s="271"/>
      <c r="I474" s="177"/>
      <c r="J474" s="285">
        <f t="shared" ref="J474:J487" si="15">(G474+H474)*E474*1.2665</f>
        <v>0</v>
      </c>
      <c r="K474" s="286"/>
    </row>
    <row r="475" spans="1:11" ht="31.2" x14ac:dyDescent="0.3">
      <c r="A475" s="183" t="s">
        <v>1069</v>
      </c>
      <c r="B475" s="34" t="s">
        <v>10</v>
      </c>
      <c r="C475" s="34">
        <v>270207</v>
      </c>
      <c r="D475" s="35" t="s">
        <v>1055</v>
      </c>
      <c r="E475" s="33">
        <f>'MEMÓRIA DE CÁLCULO'!J1545</f>
        <v>6575.7400000000007</v>
      </c>
      <c r="F475" s="34" t="s">
        <v>16</v>
      </c>
      <c r="G475" s="271"/>
      <c r="H475" s="271"/>
      <c r="I475" s="177"/>
      <c r="J475" s="285">
        <f t="shared" si="15"/>
        <v>0</v>
      </c>
      <c r="K475" s="286"/>
    </row>
    <row r="476" spans="1:11" x14ac:dyDescent="0.3">
      <c r="A476" s="183" t="s">
        <v>1070</v>
      </c>
      <c r="B476" s="34" t="s">
        <v>10</v>
      </c>
      <c r="C476" s="34">
        <v>270501</v>
      </c>
      <c r="D476" s="35" t="s">
        <v>1056</v>
      </c>
      <c r="E476" s="33">
        <f>'MEMÓRIA DE CÁLCULO'!J1549</f>
        <v>2131.04</v>
      </c>
      <c r="F476" s="34" t="s">
        <v>16</v>
      </c>
      <c r="G476" s="271"/>
      <c r="H476" s="271"/>
      <c r="I476" s="177"/>
      <c r="J476" s="285">
        <f t="shared" si="15"/>
        <v>0</v>
      </c>
      <c r="K476" s="286"/>
    </row>
    <row r="477" spans="1:11" x14ac:dyDescent="0.3">
      <c r="A477" s="183" t="s">
        <v>1071</v>
      </c>
      <c r="B477" s="34" t="s">
        <v>10</v>
      </c>
      <c r="C477" s="34">
        <v>270702</v>
      </c>
      <c r="D477" s="35" t="s">
        <v>1057</v>
      </c>
      <c r="E477" s="33">
        <f>'MEMÓRIA DE CÁLCULO'!J1552</f>
        <v>501.42</v>
      </c>
      <c r="F477" s="34" t="s">
        <v>31</v>
      </c>
      <c r="G477" s="271"/>
      <c r="H477" s="271"/>
      <c r="I477" s="177"/>
      <c r="J477" s="285">
        <f t="shared" si="15"/>
        <v>0</v>
      </c>
      <c r="K477" s="286"/>
    </row>
    <row r="478" spans="1:11" x14ac:dyDescent="0.3">
      <c r="A478" s="183" t="s">
        <v>1072</v>
      </c>
      <c r="B478" s="34" t="s">
        <v>10</v>
      </c>
      <c r="C478" s="34">
        <v>270232</v>
      </c>
      <c r="D478" s="35" t="s">
        <v>1557</v>
      </c>
      <c r="E478" s="33">
        <f>'MEMÓRIA DE CÁLCULO'!J1555</f>
        <v>274.74</v>
      </c>
      <c r="F478" s="34" t="s">
        <v>534</v>
      </c>
      <c r="G478" s="271"/>
      <c r="H478" s="271"/>
      <c r="I478" s="177"/>
      <c r="J478" s="285">
        <f>(G478+H478)*E478*1.2665</f>
        <v>0</v>
      </c>
      <c r="K478" s="286"/>
    </row>
    <row r="479" spans="1:11" ht="31.2" x14ac:dyDescent="0.3">
      <c r="A479" s="183" t="s">
        <v>1073</v>
      </c>
      <c r="B479" s="34" t="s">
        <v>10</v>
      </c>
      <c r="C479" s="34">
        <v>270621</v>
      </c>
      <c r="D479" s="35" t="s">
        <v>1120</v>
      </c>
      <c r="E479" s="33">
        <f>'MEMÓRIA DE CÁLCULO'!J1558</f>
        <v>221</v>
      </c>
      <c r="F479" s="34" t="s">
        <v>16</v>
      </c>
      <c r="G479" s="271"/>
      <c r="H479" s="271"/>
      <c r="I479" s="177"/>
      <c r="J479" s="285">
        <f t="shared" si="15"/>
        <v>0</v>
      </c>
      <c r="K479" s="286"/>
    </row>
    <row r="480" spans="1:11" x14ac:dyDescent="0.3">
      <c r="A480" s="183" t="s">
        <v>1074</v>
      </c>
      <c r="B480" s="34" t="s">
        <v>10</v>
      </c>
      <c r="C480" s="34">
        <v>270806</v>
      </c>
      <c r="D480" s="35" t="s">
        <v>1058</v>
      </c>
      <c r="E480" s="33">
        <f>'MEMÓRIA DE CÁLCULO'!J1561</f>
        <v>1</v>
      </c>
      <c r="F480" s="34" t="s">
        <v>1517</v>
      </c>
      <c r="G480" s="271"/>
      <c r="H480" s="271"/>
      <c r="I480" s="177"/>
      <c r="J480" s="285">
        <f t="shared" si="15"/>
        <v>0</v>
      </c>
      <c r="K480" s="286"/>
    </row>
    <row r="481" spans="1:11" ht="31.2" x14ac:dyDescent="0.3">
      <c r="A481" s="183" t="s">
        <v>1075</v>
      </c>
      <c r="B481" s="34" t="s">
        <v>10</v>
      </c>
      <c r="C481" s="34">
        <v>270891</v>
      </c>
      <c r="D481" s="35" t="s">
        <v>1084</v>
      </c>
      <c r="E481" s="33">
        <f>'MEMÓRIA DE CÁLCULO'!J1564</f>
        <v>1</v>
      </c>
      <c r="F481" s="34" t="s">
        <v>1060</v>
      </c>
      <c r="G481" s="271"/>
      <c r="H481" s="271"/>
      <c r="I481" s="177"/>
      <c r="J481" s="285">
        <f t="shared" si="15"/>
        <v>0</v>
      </c>
      <c r="K481" s="286"/>
    </row>
    <row r="482" spans="1:11" ht="31.2" x14ac:dyDescent="0.3">
      <c r="A482" s="183" t="s">
        <v>1076</v>
      </c>
      <c r="B482" s="34" t="s">
        <v>10</v>
      </c>
      <c r="C482" s="34">
        <v>271099</v>
      </c>
      <c r="D482" s="35" t="s">
        <v>1059</v>
      </c>
      <c r="E482" s="33">
        <f>'MEMÓRIA DE CÁLCULO'!J1567</f>
        <v>1</v>
      </c>
      <c r="F482" s="34" t="s">
        <v>1060</v>
      </c>
      <c r="G482" s="271"/>
      <c r="H482" s="271"/>
      <c r="I482" s="177"/>
      <c r="J482" s="285">
        <f t="shared" si="15"/>
        <v>0</v>
      </c>
      <c r="K482" s="286"/>
    </row>
    <row r="483" spans="1:11" ht="31.2" x14ac:dyDescent="0.3">
      <c r="A483" s="183" t="s">
        <v>1077</v>
      </c>
      <c r="B483" s="34" t="s">
        <v>10</v>
      </c>
      <c r="C483" s="34">
        <v>271103</v>
      </c>
      <c r="D483" s="35" t="s">
        <v>1065</v>
      </c>
      <c r="E483" s="33">
        <f>'MEMÓRIA DE CÁLCULO'!J1570</f>
        <v>1</v>
      </c>
      <c r="F483" s="34" t="s">
        <v>1060</v>
      </c>
      <c r="G483" s="271"/>
      <c r="H483" s="271"/>
      <c r="I483" s="177"/>
      <c r="J483" s="285">
        <f t="shared" si="15"/>
        <v>0</v>
      </c>
      <c r="K483" s="286"/>
    </row>
    <row r="484" spans="1:11" ht="31.2" x14ac:dyDescent="0.3">
      <c r="A484" s="183" t="s">
        <v>1078</v>
      </c>
      <c r="B484" s="34" t="s">
        <v>10</v>
      </c>
      <c r="C484" s="34">
        <v>271105</v>
      </c>
      <c r="D484" s="35" t="s">
        <v>1061</v>
      </c>
      <c r="E484" s="33">
        <f>'MEMÓRIA DE CÁLCULO'!J1574</f>
        <v>2</v>
      </c>
      <c r="F484" s="34" t="s">
        <v>1062</v>
      </c>
      <c r="G484" s="271"/>
      <c r="H484" s="271"/>
      <c r="I484" s="177"/>
      <c r="J484" s="285">
        <f t="shared" si="15"/>
        <v>0</v>
      </c>
      <c r="K484" s="286"/>
    </row>
    <row r="485" spans="1:11" ht="31.2" x14ac:dyDescent="0.3">
      <c r="A485" s="183" t="s">
        <v>1079</v>
      </c>
      <c r="B485" s="34" t="s">
        <v>10</v>
      </c>
      <c r="C485" s="34">
        <v>271303</v>
      </c>
      <c r="D485" s="35" t="s">
        <v>1066</v>
      </c>
      <c r="E485" s="33">
        <f>'MEMÓRIA DE CÁLCULO'!J1577</f>
        <v>18</v>
      </c>
      <c r="F485" s="34" t="s">
        <v>319</v>
      </c>
      <c r="G485" s="271"/>
      <c r="H485" s="271"/>
      <c r="I485" s="177"/>
      <c r="J485" s="285">
        <f t="shared" si="15"/>
        <v>0</v>
      </c>
      <c r="K485" s="286"/>
    </row>
    <row r="486" spans="1:11" x14ac:dyDescent="0.3">
      <c r="A486" s="183" t="s">
        <v>1080</v>
      </c>
      <c r="B486" s="34" t="s">
        <v>10</v>
      </c>
      <c r="C486" s="34">
        <v>271605</v>
      </c>
      <c r="D486" s="35" t="s">
        <v>1067</v>
      </c>
      <c r="E486" s="33">
        <f>'MEMÓRIA DE CÁLCULO'!J1604</f>
        <v>63</v>
      </c>
      <c r="F486" s="34" t="s">
        <v>1517</v>
      </c>
      <c r="G486" s="271"/>
      <c r="H486" s="271"/>
      <c r="I486" s="177"/>
      <c r="J486" s="285">
        <f t="shared" si="15"/>
        <v>0</v>
      </c>
      <c r="K486" s="286"/>
    </row>
    <row r="487" spans="1:11" x14ac:dyDescent="0.3">
      <c r="A487" s="183" t="s">
        <v>1081</v>
      </c>
      <c r="B487" s="34" t="s">
        <v>10</v>
      </c>
      <c r="C487" s="34">
        <v>271608</v>
      </c>
      <c r="D487" s="35" t="s">
        <v>1395</v>
      </c>
      <c r="E487" s="33">
        <f>'MEMÓRIA DE CÁLCULO'!J1631</f>
        <v>20.864999999999995</v>
      </c>
      <c r="F487" s="34" t="s">
        <v>16</v>
      </c>
      <c r="G487" s="271"/>
      <c r="H487" s="271"/>
      <c r="I487" s="177"/>
      <c r="J487" s="285">
        <f t="shared" si="15"/>
        <v>0</v>
      </c>
      <c r="K487" s="286"/>
    </row>
    <row r="488" spans="1:11" ht="46.8" x14ac:dyDescent="0.3">
      <c r="A488" s="183" t="s">
        <v>1082</v>
      </c>
      <c r="B488" s="34" t="s">
        <v>70</v>
      </c>
      <c r="C488" s="34">
        <v>84088</v>
      </c>
      <c r="D488" s="35" t="s">
        <v>1567</v>
      </c>
      <c r="E488" s="33">
        <v>89.8</v>
      </c>
      <c r="F488" s="34" t="s">
        <v>319</v>
      </c>
      <c r="G488" s="332"/>
      <c r="H488" s="333"/>
      <c r="I488" s="177"/>
      <c r="J488" s="285">
        <f t="shared" ref="J488" si="16">(G488+H488)*E488*1.2665</f>
        <v>0</v>
      </c>
      <c r="K488" s="286"/>
    </row>
    <row r="489" spans="1:11" ht="62.4" x14ac:dyDescent="0.3">
      <c r="A489" s="183" t="s">
        <v>1083</v>
      </c>
      <c r="B489" s="34" t="s">
        <v>10</v>
      </c>
      <c r="C489" s="58">
        <v>271714</v>
      </c>
      <c r="D489" s="35" t="s">
        <v>1394</v>
      </c>
      <c r="E489" s="33">
        <f>'MEMÓRIA DE CÁLCULO'!J1637</f>
        <v>132</v>
      </c>
      <c r="F489" s="34" t="s">
        <v>319</v>
      </c>
      <c r="G489" s="271"/>
      <c r="H489" s="271"/>
      <c r="I489" s="177"/>
      <c r="J489" s="285">
        <f>(G489+H489)*E489*1.2665</f>
        <v>0</v>
      </c>
      <c r="K489" s="286"/>
    </row>
    <row r="490" spans="1:11" x14ac:dyDescent="0.3">
      <c r="A490" s="183" t="s">
        <v>1121</v>
      </c>
      <c r="B490" s="196" t="s">
        <v>1335</v>
      </c>
      <c r="C490" s="34">
        <v>41331</v>
      </c>
      <c r="D490" s="35" t="s">
        <v>1063</v>
      </c>
      <c r="E490" s="33">
        <f>'MEMÓRIA DE CÁLCULO'!J1640</f>
        <v>924.6</v>
      </c>
      <c r="F490" s="34" t="s">
        <v>31</v>
      </c>
      <c r="G490" s="334"/>
      <c r="H490" s="334"/>
      <c r="I490" s="177"/>
      <c r="J490" s="316">
        <f>(G490)*E490</f>
        <v>0</v>
      </c>
      <c r="K490" s="317"/>
    </row>
    <row r="491" spans="1:11" ht="16.2" thickBot="1" x14ac:dyDescent="0.35">
      <c r="A491" s="183" t="s">
        <v>1566</v>
      </c>
      <c r="B491" s="38" t="s">
        <v>10</v>
      </c>
      <c r="C491" s="38">
        <v>271852</v>
      </c>
      <c r="D491" s="36" t="s">
        <v>1064</v>
      </c>
      <c r="E491" s="37">
        <f>'MEMÓRIA DE CÁLCULO'!J1643</f>
        <v>8.4</v>
      </c>
      <c r="F491" s="38" t="s">
        <v>31</v>
      </c>
      <c r="G491" s="23"/>
      <c r="H491" s="23"/>
      <c r="I491" s="177"/>
      <c r="J491" s="285">
        <f>(G491+H491)*E491*1.2665</f>
        <v>0</v>
      </c>
      <c r="K491" s="286"/>
    </row>
    <row r="492" spans="1:11" ht="16.2" thickBot="1" x14ac:dyDescent="0.35">
      <c r="A492" s="322" t="s">
        <v>7</v>
      </c>
      <c r="B492" s="323"/>
      <c r="C492" s="323"/>
      <c r="D492" s="323"/>
      <c r="E492" s="323"/>
      <c r="F492" s="323"/>
      <c r="G492" s="323"/>
      <c r="H492" s="323"/>
      <c r="I492" s="323"/>
      <c r="J492" s="324"/>
      <c r="K492" s="39">
        <f>SUM(J474:K491)</f>
        <v>0</v>
      </c>
    </row>
    <row r="493" spans="1:11" ht="16.2" thickBot="1" x14ac:dyDescent="0.35">
      <c r="A493" s="291" t="s">
        <v>1334</v>
      </c>
      <c r="B493" s="292"/>
      <c r="C493" s="292"/>
      <c r="D493" s="292"/>
      <c r="E493" s="292"/>
      <c r="F493" s="292"/>
      <c r="G493" s="292"/>
      <c r="H493" s="292"/>
      <c r="I493" s="292"/>
      <c r="J493" s="292"/>
      <c r="K493" s="293"/>
    </row>
    <row r="494" spans="1:11" ht="31.2" x14ac:dyDescent="0.3">
      <c r="A494" s="182">
        <v>24</v>
      </c>
      <c r="B494" s="197" t="s">
        <v>1335</v>
      </c>
      <c r="C494" s="191">
        <v>100002</v>
      </c>
      <c r="D494" s="294" t="s">
        <v>1341</v>
      </c>
      <c r="E494" s="295"/>
      <c r="F494" s="295"/>
      <c r="G494" s="295"/>
      <c r="H494" s="295"/>
      <c r="I494" s="295"/>
      <c r="J494" s="295"/>
      <c r="K494" s="296"/>
    </row>
    <row r="495" spans="1:11" x14ac:dyDescent="0.3">
      <c r="A495" s="183" t="s">
        <v>1343</v>
      </c>
      <c r="B495" s="196" t="s">
        <v>1335</v>
      </c>
      <c r="C495" s="34">
        <v>40310</v>
      </c>
      <c r="D495" s="35" t="s">
        <v>1336</v>
      </c>
      <c r="E495" s="33">
        <f>'MEMÓRIA DE CÁLCULO'!J1649</f>
        <v>2878.0099999999998</v>
      </c>
      <c r="F495" s="34" t="s">
        <v>16</v>
      </c>
      <c r="G495" s="332"/>
      <c r="H495" s="333"/>
      <c r="I495" s="177"/>
      <c r="J495" s="316">
        <f>(G495)*E495</f>
        <v>0</v>
      </c>
      <c r="K495" s="317"/>
    </row>
    <row r="496" spans="1:11" x14ac:dyDescent="0.3">
      <c r="A496" s="183" t="s">
        <v>1344</v>
      </c>
      <c r="B496" s="196" t="s">
        <v>1335</v>
      </c>
      <c r="C496" s="34">
        <v>40316</v>
      </c>
      <c r="D496" s="35" t="s">
        <v>1337</v>
      </c>
      <c r="E496" s="33">
        <f>'MEMÓRIA DE CÁLCULO'!J1653</f>
        <v>575.60199999999998</v>
      </c>
      <c r="F496" s="34" t="s">
        <v>103</v>
      </c>
      <c r="G496" s="332"/>
      <c r="H496" s="333"/>
      <c r="I496" s="177"/>
      <c r="J496" s="316">
        <f t="shared" ref="J496:J502" si="17">(G496)*E496</f>
        <v>0</v>
      </c>
      <c r="K496" s="317"/>
    </row>
    <row r="497" spans="1:11" x14ac:dyDescent="0.3">
      <c r="A497" s="183" t="s">
        <v>1345</v>
      </c>
      <c r="B497" s="196" t="s">
        <v>1335</v>
      </c>
      <c r="C497" s="34">
        <v>40320</v>
      </c>
      <c r="D497" s="35" t="s">
        <v>1338</v>
      </c>
      <c r="E497" s="33">
        <f>'MEMÓRIA DE CÁLCULO'!J1657</f>
        <v>22448.477999999999</v>
      </c>
      <c r="F497" s="34" t="s">
        <v>1339</v>
      </c>
      <c r="G497" s="332"/>
      <c r="H497" s="333"/>
      <c r="I497" s="177"/>
      <c r="J497" s="316">
        <f t="shared" si="17"/>
        <v>0</v>
      </c>
      <c r="K497" s="317"/>
    </row>
    <row r="498" spans="1:11" ht="18" customHeight="1" x14ac:dyDescent="0.3">
      <c r="A498" s="183" t="s">
        <v>1346</v>
      </c>
      <c r="B498" s="196" t="s">
        <v>1335</v>
      </c>
      <c r="C498" s="34">
        <v>40380</v>
      </c>
      <c r="D498" s="35" t="s">
        <v>1340</v>
      </c>
      <c r="E498" s="33">
        <f>'MEMÓRIA DE CÁLCULO'!J1661</f>
        <v>2878.0099999999998</v>
      </c>
      <c r="F498" s="34" t="s">
        <v>534</v>
      </c>
      <c r="G498" s="332"/>
      <c r="H498" s="333"/>
      <c r="I498" s="177"/>
      <c r="J498" s="316">
        <f t="shared" si="17"/>
        <v>0</v>
      </c>
      <c r="K498" s="317"/>
    </row>
    <row r="499" spans="1:11" x14ac:dyDescent="0.3">
      <c r="A499" s="183" t="s">
        <v>1347</v>
      </c>
      <c r="B499" s="341" t="s">
        <v>1366</v>
      </c>
      <c r="C499" s="342"/>
      <c r="D499" s="35" t="s">
        <v>1359</v>
      </c>
      <c r="E499" s="33">
        <f>'MEMÓRIA DE CÁLCULO'!J1665</f>
        <v>3.4536119999999992</v>
      </c>
      <c r="F499" s="34" t="s">
        <v>1522</v>
      </c>
      <c r="G499" s="332"/>
      <c r="H499" s="333"/>
      <c r="I499" s="177"/>
      <c r="J499" s="285">
        <f>(G499)*E499*1.2665</f>
        <v>0</v>
      </c>
      <c r="K499" s="286"/>
    </row>
    <row r="500" spans="1:11" x14ac:dyDescent="0.3">
      <c r="A500" s="183" t="s">
        <v>1348</v>
      </c>
      <c r="B500" s="341" t="s">
        <v>1367</v>
      </c>
      <c r="C500" s="342"/>
      <c r="D500" s="35" t="s">
        <v>1360</v>
      </c>
      <c r="E500" s="33">
        <f>'MEMÓRIA DE CÁLCULO'!J1669</f>
        <v>5.7560199999999995</v>
      </c>
      <c r="F500" s="34" t="s">
        <v>1522</v>
      </c>
      <c r="G500" s="332"/>
      <c r="H500" s="333"/>
      <c r="I500" s="177"/>
      <c r="J500" s="285">
        <f>(G500)*E500*1.2665</f>
        <v>0</v>
      </c>
      <c r="K500" s="286"/>
    </row>
    <row r="501" spans="1:11" ht="21" customHeight="1" x14ac:dyDescent="0.3">
      <c r="A501" s="183" t="s">
        <v>1349</v>
      </c>
      <c r="B501" s="196" t="s">
        <v>1335</v>
      </c>
      <c r="C501" s="34">
        <v>40435</v>
      </c>
      <c r="D501" s="35" t="s">
        <v>1342</v>
      </c>
      <c r="E501" s="33">
        <f>'MEMÓRIA DE CÁLCULO'!J1674</f>
        <v>2394.50432</v>
      </c>
      <c r="F501" s="34" t="s">
        <v>1521</v>
      </c>
      <c r="G501" s="332"/>
      <c r="H501" s="333"/>
      <c r="I501" s="177"/>
      <c r="J501" s="316">
        <f t="shared" si="17"/>
        <v>0</v>
      </c>
      <c r="K501" s="317"/>
    </row>
    <row r="502" spans="1:11" ht="16.2" thickBot="1" x14ac:dyDescent="0.35">
      <c r="A502" s="180" t="s">
        <v>1362</v>
      </c>
      <c r="B502" s="198" t="s">
        <v>1335</v>
      </c>
      <c r="C502" s="38">
        <v>40609</v>
      </c>
      <c r="D502" s="36" t="s">
        <v>1356</v>
      </c>
      <c r="E502" s="37">
        <f>'MEMÓRIA DE CÁLCULO'!J1678</f>
        <v>2878.0099999999998</v>
      </c>
      <c r="F502" s="38" t="s">
        <v>534</v>
      </c>
      <c r="G502" s="297"/>
      <c r="H502" s="298"/>
      <c r="I502" s="177"/>
      <c r="J502" s="338">
        <f t="shared" si="17"/>
        <v>0</v>
      </c>
      <c r="K502" s="339"/>
    </row>
    <row r="503" spans="1:11" ht="16.2" thickBot="1" x14ac:dyDescent="0.35">
      <c r="A503" s="322" t="s">
        <v>7</v>
      </c>
      <c r="B503" s="323"/>
      <c r="C503" s="323"/>
      <c r="D503" s="323"/>
      <c r="E503" s="323"/>
      <c r="F503" s="323"/>
      <c r="G503" s="323"/>
      <c r="H503" s="323"/>
      <c r="I503" s="323"/>
      <c r="J503" s="324"/>
      <c r="K503" s="39">
        <f>SUM(J495:K502)</f>
        <v>0</v>
      </c>
    </row>
    <row r="504" spans="1:11" ht="16.2" thickBot="1" x14ac:dyDescent="0.35">
      <c r="A504" s="343" t="s">
        <v>65</v>
      </c>
      <c r="B504" s="344"/>
      <c r="C504" s="344"/>
      <c r="D504" s="344"/>
      <c r="E504" s="344"/>
      <c r="F504" s="344"/>
      <c r="G504" s="344"/>
      <c r="H504" s="344"/>
      <c r="I504" s="345"/>
      <c r="J504" s="311">
        <f>K503+K492+K471+K456+K449+K442+K434+K429+K421+K416+K402+K397+K385+K378+K374+K367+K361+K340+K143+K63+K46+K34+K25+K20</f>
        <v>0</v>
      </c>
      <c r="K504" s="312"/>
    </row>
    <row r="505" spans="1:11" customFormat="1" ht="14.4" x14ac:dyDescent="0.3"/>
    <row r="506" spans="1:11" customFormat="1" ht="14.4" x14ac:dyDescent="0.3"/>
    <row r="507" spans="1:11" customFormat="1" ht="14.4" x14ac:dyDescent="0.3"/>
    <row r="508" spans="1:11" customFormat="1" ht="14.4" x14ac:dyDescent="0.3"/>
    <row r="509" spans="1:11" customFormat="1" ht="14.4" x14ac:dyDescent="0.3"/>
    <row r="510" spans="1:11" customFormat="1" ht="14.4" x14ac:dyDescent="0.3"/>
    <row r="511" spans="1:11" customFormat="1" ht="14.4" x14ac:dyDescent="0.3"/>
    <row r="512" spans="1:11" customFormat="1" ht="14.4" x14ac:dyDescent="0.3"/>
    <row r="513" customFormat="1" ht="14.4" x14ac:dyDescent="0.3"/>
    <row r="514" customFormat="1" ht="14.4" x14ac:dyDescent="0.3"/>
    <row r="515" customFormat="1" ht="14.4" x14ac:dyDescent="0.3"/>
    <row r="516" customFormat="1" ht="14.4" x14ac:dyDescent="0.3"/>
    <row r="517" customFormat="1" ht="14.4" x14ac:dyDescent="0.3"/>
    <row r="518" customFormat="1" ht="14.4" x14ac:dyDescent="0.3"/>
    <row r="519" customFormat="1" ht="14.4" x14ac:dyDescent="0.3"/>
    <row r="520" customFormat="1" ht="14.4" x14ac:dyDescent="0.3"/>
    <row r="521" customFormat="1" ht="14.4" x14ac:dyDescent="0.3"/>
    <row r="522" customFormat="1" ht="14.4" x14ac:dyDescent="0.3"/>
  </sheetData>
  <sheetProtection selectLockedCells="1"/>
  <mergeCells count="590">
    <mergeCell ref="B499:C499"/>
    <mergeCell ref="B500:C500"/>
    <mergeCell ref="A504:I504"/>
    <mergeCell ref="J4:K4"/>
    <mergeCell ref="A416:J416"/>
    <mergeCell ref="A402:J402"/>
    <mergeCell ref="A397:J397"/>
    <mergeCell ref="A385:J385"/>
    <mergeCell ref="A378:J378"/>
    <mergeCell ref="A374:J374"/>
    <mergeCell ref="A367:J367"/>
    <mergeCell ref="A361:J361"/>
    <mergeCell ref="A340:J340"/>
    <mergeCell ref="A503:J503"/>
    <mergeCell ref="A492:J492"/>
    <mergeCell ref="A471:J471"/>
    <mergeCell ref="A456:J456"/>
    <mergeCell ref="A449:J449"/>
    <mergeCell ref="A442:J442"/>
    <mergeCell ref="A434:J434"/>
    <mergeCell ref="A429:J429"/>
    <mergeCell ref="J339:K339"/>
    <mergeCell ref="B336:C336"/>
    <mergeCell ref="J222:K222"/>
    <mergeCell ref="J316:K316"/>
    <mergeCell ref="G309:H309"/>
    <mergeCell ref="J10:K10"/>
    <mergeCell ref="J30:K30"/>
    <mergeCell ref="J61:K61"/>
    <mergeCell ref="J60:K60"/>
    <mergeCell ref="J271:K271"/>
    <mergeCell ref="J309:K309"/>
    <mergeCell ref="J310:K310"/>
    <mergeCell ref="J290:K290"/>
    <mergeCell ref="J291:K291"/>
    <mergeCell ref="J292:K292"/>
    <mergeCell ref="J293:K293"/>
    <mergeCell ref="J294:K294"/>
    <mergeCell ref="J285:K285"/>
    <mergeCell ref="J286:K286"/>
    <mergeCell ref="J287:K287"/>
    <mergeCell ref="J288:K288"/>
    <mergeCell ref="J289:K289"/>
    <mergeCell ref="J278:K278"/>
    <mergeCell ref="J279:K279"/>
    <mergeCell ref="J280:K280"/>
    <mergeCell ref="J373:K373"/>
    <mergeCell ref="J305:K305"/>
    <mergeCell ref="G281:H281"/>
    <mergeCell ref="J281:K281"/>
    <mergeCell ref="G282:H282"/>
    <mergeCell ref="J282:K282"/>
    <mergeCell ref="J264:K264"/>
    <mergeCell ref="J265:K265"/>
    <mergeCell ref="J266:K266"/>
    <mergeCell ref="G352:H352"/>
    <mergeCell ref="G358:H358"/>
    <mergeCell ref="J366:K366"/>
    <mergeCell ref="J334:K334"/>
    <mergeCell ref="J335:K335"/>
    <mergeCell ref="J299:K299"/>
    <mergeCell ref="J300:K300"/>
    <mergeCell ref="J297:K297"/>
    <mergeCell ref="J298:K298"/>
    <mergeCell ref="J337:K337"/>
    <mergeCell ref="J338:K338"/>
    <mergeCell ref="G314:H314"/>
    <mergeCell ref="J314:K314"/>
    <mergeCell ref="G310:H310"/>
    <mergeCell ref="J315:K315"/>
    <mergeCell ref="B318:C318"/>
    <mergeCell ref="B322:C322"/>
    <mergeCell ref="B332:C332"/>
    <mergeCell ref="B337:C337"/>
    <mergeCell ref="B333:C333"/>
    <mergeCell ref="A63:J63"/>
    <mergeCell ref="B335:C335"/>
    <mergeCell ref="J317:K317"/>
    <mergeCell ref="J318:K318"/>
    <mergeCell ref="J319:K319"/>
    <mergeCell ref="J320:K320"/>
    <mergeCell ref="J321:K321"/>
    <mergeCell ref="J322:K322"/>
    <mergeCell ref="J323:K323"/>
    <mergeCell ref="J324:K324"/>
    <mergeCell ref="J325:K325"/>
    <mergeCell ref="J326:K326"/>
    <mergeCell ref="J327:K327"/>
    <mergeCell ref="J301:K301"/>
    <mergeCell ref="J302:K302"/>
    <mergeCell ref="J303:K303"/>
    <mergeCell ref="J304:K304"/>
    <mergeCell ref="J295:K295"/>
    <mergeCell ref="J296:K296"/>
    <mergeCell ref="B349:C349"/>
    <mergeCell ref="B350:C350"/>
    <mergeCell ref="B351:C351"/>
    <mergeCell ref="B334:C334"/>
    <mergeCell ref="B314:C314"/>
    <mergeCell ref="B310:C310"/>
    <mergeCell ref="J311:K311"/>
    <mergeCell ref="J312:K312"/>
    <mergeCell ref="J313:K313"/>
    <mergeCell ref="B311:C311"/>
    <mergeCell ref="B313:C313"/>
    <mergeCell ref="B312:C312"/>
    <mergeCell ref="G311:H311"/>
    <mergeCell ref="G312:H312"/>
    <mergeCell ref="G313:H313"/>
    <mergeCell ref="J345:K345"/>
    <mergeCell ref="G349:H349"/>
    <mergeCell ref="G350:H350"/>
    <mergeCell ref="J328:K328"/>
    <mergeCell ref="J329:K329"/>
    <mergeCell ref="J330:K330"/>
    <mergeCell ref="J331:K331"/>
    <mergeCell ref="J332:K332"/>
    <mergeCell ref="J333:K333"/>
    <mergeCell ref="G495:H495"/>
    <mergeCell ref="G496:H496"/>
    <mergeCell ref="G497:H497"/>
    <mergeCell ref="G498:H498"/>
    <mergeCell ref="G499:H499"/>
    <mergeCell ref="G502:H502"/>
    <mergeCell ref="G500:H500"/>
    <mergeCell ref="G501:H501"/>
    <mergeCell ref="J501:K501"/>
    <mergeCell ref="J273:K273"/>
    <mergeCell ref="J274:K274"/>
    <mergeCell ref="J489:K489"/>
    <mergeCell ref="J412:K412"/>
    <mergeCell ref="J502:K502"/>
    <mergeCell ref="A493:K493"/>
    <mergeCell ref="D494:K494"/>
    <mergeCell ref="J495:K495"/>
    <mergeCell ref="J496:K496"/>
    <mergeCell ref="J497:K497"/>
    <mergeCell ref="J498:K498"/>
    <mergeCell ref="J499:K499"/>
    <mergeCell ref="J500:K500"/>
    <mergeCell ref="D369:K369"/>
    <mergeCell ref="G382:H382"/>
    <mergeCell ref="J359:K359"/>
    <mergeCell ref="J360:K360"/>
    <mergeCell ref="J364:K364"/>
    <mergeCell ref="J365:K365"/>
    <mergeCell ref="J336:K336"/>
    <mergeCell ref="G318:H318"/>
    <mergeCell ref="G322:H322"/>
    <mergeCell ref="G332:H332"/>
    <mergeCell ref="G333:H333"/>
    <mergeCell ref="G334:H334"/>
    <mergeCell ref="G335:H335"/>
    <mergeCell ref="G336:H336"/>
    <mergeCell ref="G337:H337"/>
    <mergeCell ref="A362:K362"/>
    <mergeCell ref="D363:K363"/>
    <mergeCell ref="A368:K368"/>
    <mergeCell ref="G351:H351"/>
    <mergeCell ref="A379:K379"/>
    <mergeCell ref="D380:K380"/>
    <mergeCell ref="J344:K344"/>
    <mergeCell ref="J355:K355"/>
    <mergeCell ref="J356:K356"/>
    <mergeCell ref="J462:K462"/>
    <mergeCell ref="J463:K463"/>
    <mergeCell ref="J447:K447"/>
    <mergeCell ref="J448:K448"/>
    <mergeCell ref="J491:K491"/>
    <mergeCell ref="J481:K481"/>
    <mergeCell ref="J470:K470"/>
    <mergeCell ref="G490:H490"/>
    <mergeCell ref="J474:K474"/>
    <mergeCell ref="J475:K475"/>
    <mergeCell ref="J476:K476"/>
    <mergeCell ref="J477:K477"/>
    <mergeCell ref="J478:K478"/>
    <mergeCell ref="J480:K480"/>
    <mergeCell ref="J482:K482"/>
    <mergeCell ref="J483:K483"/>
    <mergeCell ref="J484:K484"/>
    <mergeCell ref="J485:K485"/>
    <mergeCell ref="J486:K486"/>
    <mergeCell ref="J487:K487"/>
    <mergeCell ref="J490:K490"/>
    <mergeCell ref="J479:K479"/>
    <mergeCell ref="G488:H488"/>
    <mergeCell ref="J488:K488"/>
    <mergeCell ref="J405:K405"/>
    <mergeCell ref="J406:K406"/>
    <mergeCell ref="J407:K407"/>
    <mergeCell ref="J408:K408"/>
    <mergeCell ref="J409:K409"/>
    <mergeCell ref="J455:K455"/>
    <mergeCell ref="J459:K459"/>
    <mergeCell ref="J460:K460"/>
    <mergeCell ref="J461:K461"/>
    <mergeCell ref="J415:K415"/>
    <mergeCell ref="J441:K441"/>
    <mergeCell ref="J452:K452"/>
    <mergeCell ref="J453:K453"/>
    <mergeCell ref="J454:K454"/>
    <mergeCell ref="J419:K419"/>
    <mergeCell ref="J420:K420"/>
    <mergeCell ref="J432:K432"/>
    <mergeCell ref="J433:K433"/>
    <mergeCell ref="J424:K424"/>
    <mergeCell ref="J425:K425"/>
    <mergeCell ref="J426:K426"/>
    <mergeCell ref="J427:K427"/>
    <mergeCell ref="J428:K428"/>
    <mergeCell ref="A421:J421"/>
    <mergeCell ref="J382:K382"/>
    <mergeCell ref="J392:K392"/>
    <mergeCell ref="J394:K394"/>
    <mergeCell ref="J395:K395"/>
    <mergeCell ref="G393:H393"/>
    <mergeCell ref="A403:K403"/>
    <mergeCell ref="D404:K404"/>
    <mergeCell ref="J389:K389"/>
    <mergeCell ref="J390:K390"/>
    <mergeCell ref="J391:K391"/>
    <mergeCell ref="J393:K393"/>
    <mergeCell ref="J400:K400"/>
    <mergeCell ref="J383:K383"/>
    <mergeCell ref="B384:C384"/>
    <mergeCell ref="J384:K384"/>
    <mergeCell ref="G383:H383"/>
    <mergeCell ref="A386:K386"/>
    <mergeCell ref="D387:K387"/>
    <mergeCell ref="A398:K398"/>
    <mergeCell ref="D399:K399"/>
    <mergeCell ref="J346:K346"/>
    <mergeCell ref="J347:K347"/>
    <mergeCell ref="J348:K348"/>
    <mergeCell ref="J349:K349"/>
    <mergeCell ref="J350:K350"/>
    <mergeCell ref="J351:K351"/>
    <mergeCell ref="J352:K352"/>
    <mergeCell ref="J353:K353"/>
    <mergeCell ref="J354:K354"/>
    <mergeCell ref="J283:K283"/>
    <mergeCell ref="J284:K284"/>
    <mergeCell ref="J270:K270"/>
    <mergeCell ref="J272:K272"/>
    <mergeCell ref="J275:K275"/>
    <mergeCell ref="J276:K276"/>
    <mergeCell ref="J277:K277"/>
    <mergeCell ref="J262:K262"/>
    <mergeCell ref="J263:K263"/>
    <mergeCell ref="J267:K267"/>
    <mergeCell ref="J268:K268"/>
    <mergeCell ref="J269:K269"/>
    <mergeCell ref="J258:K258"/>
    <mergeCell ref="J259:K259"/>
    <mergeCell ref="J260:K260"/>
    <mergeCell ref="J261:K261"/>
    <mergeCell ref="J252:K252"/>
    <mergeCell ref="J253:K253"/>
    <mergeCell ref="J254:K254"/>
    <mergeCell ref="J255:K255"/>
    <mergeCell ref="J256:K256"/>
    <mergeCell ref="J248:K248"/>
    <mergeCell ref="J249:K249"/>
    <mergeCell ref="J250:K250"/>
    <mergeCell ref="J251:K251"/>
    <mergeCell ref="J243:K243"/>
    <mergeCell ref="J244:K244"/>
    <mergeCell ref="J245:K245"/>
    <mergeCell ref="J246:K246"/>
    <mergeCell ref="J257:K257"/>
    <mergeCell ref="J174:K174"/>
    <mergeCell ref="J175:K175"/>
    <mergeCell ref="J176:K176"/>
    <mergeCell ref="J233:K233"/>
    <mergeCell ref="J234:K234"/>
    <mergeCell ref="J218:K218"/>
    <mergeCell ref="J219:K219"/>
    <mergeCell ref="J220:K220"/>
    <mergeCell ref="J221:K221"/>
    <mergeCell ref="J223:K223"/>
    <mergeCell ref="J177:K177"/>
    <mergeCell ref="J186:K186"/>
    <mergeCell ref="J187:K187"/>
    <mergeCell ref="J188:K188"/>
    <mergeCell ref="J189:K189"/>
    <mergeCell ref="J190:K190"/>
    <mergeCell ref="J191:K191"/>
    <mergeCell ref="J192:K192"/>
    <mergeCell ref="J212:K212"/>
    <mergeCell ref="J213:K213"/>
    <mergeCell ref="J216:K216"/>
    <mergeCell ref="J217:K217"/>
    <mergeCell ref="J171:K171"/>
    <mergeCell ref="J172:K172"/>
    <mergeCell ref="J161:K161"/>
    <mergeCell ref="J162:K162"/>
    <mergeCell ref="J163:K163"/>
    <mergeCell ref="J164:K164"/>
    <mergeCell ref="J165:K165"/>
    <mergeCell ref="J238:K238"/>
    <mergeCell ref="J193:K193"/>
    <mergeCell ref="J194:K194"/>
    <mergeCell ref="J196:K196"/>
    <mergeCell ref="J197:K197"/>
    <mergeCell ref="J195:K195"/>
    <mergeCell ref="J198:K198"/>
    <mergeCell ref="J199:K199"/>
    <mergeCell ref="J232:K232"/>
    <mergeCell ref="J224:K224"/>
    <mergeCell ref="J225:K225"/>
    <mergeCell ref="J226:K226"/>
    <mergeCell ref="J227:K227"/>
    <mergeCell ref="J228:K228"/>
    <mergeCell ref="J210:K210"/>
    <mergeCell ref="J211:K211"/>
    <mergeCell ref="J181:K181"/>
    <mergeCell ref="J160:K160"/>
    <mergeCell ref="J151:K151"/>
    <mergeCell ref="J152:K152"/>
    <mergeCell ref="J153:K153"/>
    <mergeCell ref="J154:K154"/>
    <mergeCell ref="J155:K155"/>
    <mergeCell ref="J166:K166"/>
    <mergeCell ref="J167:K167"/>
    <mergeCell ref="J170:K170"/>
    <mergeCell ref="J168:K168"/>
    <mergeCell ref="J169:K169"/>
    <mergeCell ref="J159:K159"/>
    <mergeCell ref="A144:K144"/>
    <mergeCell ref="D145:K145"/>
    <mergeCell ref="J149:K149"/>
    <mergeCell ref="J150:K150"/>
    <mergeCell ref="J156:K156"/>
    <mergeCell ref="J157:K157"/>
    <mergeCell ref="J158:K158"/>
    <mergeCell ref="A143:J143"/>
    <mergeCell ref="J126:K126"/>
    <mergeCell ref="J127:K127"/>
    <mergeCell ref="J128:K128"/>
    <mergeCell ref="J129:K129"/>
    <mergeCell ref="J140:K140"/>
    <mergeCell ref="J141:K141"/>
    <mergeCell ref="J148:K148"/>
    <mergeCell ref="J135:K135"/>
    <mergeCell ref="J136:K136"/>
    <mergeCell ref="J137:K137"/>
    <mergeCell ref="J138:K138"/>
    <mergeCell ref="J139:K139"/>
    <mergeCell ref="G9:H9"/>
    <mergeCell ref="A21:K21"/>
    <mergeCell ref="D22:K22"/>
    <mergeCell ref="G141:H141"/>
    <mergeCell ref="J55:K55"/>
    <mergeCell ref="J38:K38"/>
    <mergeCell ref="J39:K39"/>
    <mergeCell ref="J41:K41"/>
    <mergeCell ref="J72:K72"/>
    <mergeCell ref="J73:K73"/>
    <mergeCell ref="J74:K74"/>
    <mergeCell ref="J45:K45"/>
    <mergeCell ref="J66:K66"/>
    <mergeCell ref="J67:K67"/>
    <mergeCell ref="J68:K68"/>
    <mergeCell ref="J69:K69"/>
    <mergeCell ref="J80:K80"/>
    <mergeCell ref="J56:K56"/>
    <mergeCell ref="J81:K81"/>
    <mergeCell ref="J82:K82"/>
    <mergeCell ref="J83:K83"/>
    <mergeCell ref="J114:K114"/>
    <mergeCell ref="J130:K130"/>
    <mergeCell ref="J131:K131"/>
    <mergeCell ref="J91:K91"/>
    <mergeCell ref="J92:K92"/>
    <mergeCell ref="J94:K94"/>
    <mergeCell ref="J106:K106"/>
    <mergeCell ref="J107:K107"/>
    <mergeCell ref="J108:K108"/>
    <mergeCell ref="J109:K109"/>
    <mergeCell ref="J120:K120"/>
    <mergeCell ref="J121:K121"/>
    <mergeCell ref="J115:K115"/>
    <mergeCell ref="J116:K116"/>
    <mergeCell ref="J117:K117"/>
    <mergeCell ref="J118:K118"/>
    <mergeCell ref="J119:K119"/>
    <mergeCell ref="J70:K70"/>
    <mergeCell ref="J71:K71"/>
    <mergeCell ref="J84:K84"/>
    <mergeCell ref="J75:K75"/>
    <mergeCell ref="J76:K76"/>
    <mergeCell ref="J77:K77"/>
    <mergeCell ref="J78:K78"/>
    <mergeCell ref="J79:K79"/>
    <mergeCell ref="J90:K90"/>
    <mergeCell ref="J88:K88"/>
    <mergeCell ref="J105:K105"/>
    <mergeCell ref="A1:K1"/>
    <mergeCell ref="A3:K3"/>
    <mergeCell ref="B4:C4"/>
    <mergeCell ref="A5:K5"/>
    <mergeCell ref="D6:K6"/>
    <mergeCell ref="A2:K2"/>
    <mergeCell ref="G8:H8"/>
    <mergeCell ref="J7:K7"/>
    <mergeCell ref="J8:K8"/>
    <mergeCell ref="J9:K9"/>
    <mergeCell ref="J13:K13"/>
    <mergeCell ref="J14:K14"/>
    <mergeCell ref="J15:K15"/>
    <mergeCell ref="J23:K23"/>
    <mergeCell ref="J16:K16"/>
    <mergeCell ref="J29:K29"/>
    <mergeCell ref="J31:K31"/>
    <mergeCell ref="J32:K32"/>
    <mergeCell ref="J17:K17"/>
    <mergeCell ref="J18:K18"/>
    <mergeCell ref="J19:K19"/>
    <mergeCell ref="A26:K26"/>
    <mergeCell ref="D27:K27"/>
    <mergeCell ref="J33:K33"/>
    <mergeCell ref="J49:K49"/>
    <mergeCell ref="J50:K50"/>
    <mergeCell ref="J40:K40"/>
    <mergeCell ref="A35:K35"/>
    <mergeCell ref="D36:K36"/>
    <mergeCell ref="J28:K28"/>
    <mergeCell ref="A46:J46"/>
    <mergeCell ref="A34:J34"/>
    <mergeCell ref="A20:J20"/>
    <mergeCell ref="A25:J25"/>
    <mergeCell ref="J24:K24"/>
    <mergeCell ref="J37:K37"/>
    <mergeCell ref="J51:K51"/>
    <mergeCell ref="J53:K53"/>
    <mergeCell ref="J54:K54"/>
    <mergeCell ref="J57:K57"/>
    <mergeCell ref="J58:K58"/>
    <mergeCell ref="J59:K59"/>
    <mergeCell ref="J52:K52"/>
    <mergeCell ref="J42:K42"/>
    <mergeCell ref="J44:K44"/>
    <mergeCell ref="A47:K47"/>
    <mergeCell ref="D48:K48"/>
    <mergeCell ref="J43:K43"/>
    <mergeCell ref="J504:K504"/>
    <mergeCell ref="D444:K444"/>
    <mergeCell ref="A450:K450"/>
    <mergeCell ref="D451:K451"/>
    <mergeCell ref="A457:K457"/>
    <mergeCell ref="D458:K458"/>
    <mergeCell ref="A472:K472"/>
    <mergeCell ref="D473:K473"/>
    <mergeCell ref="A430:K430"/>
    <mergeCell ref="D431:K431"/>
    <mergeCell ref="J445:K445"/>
    <mergeCell ref="J446:K446"/>
    <mergeCell ref="J465:K465"/>
    <mergeCell ref="J467:K467"/>
    <mergeCell ref="A435:K435"/>
    <mergeCell ref="D436:K436"/>
    <mergeCell ref="J468:K468"/>
    <mergeCell ref="J469:K469"/>
    <mergeCell ref="J466:K466"/>
    <mergeCell ref="J464:K464"/>
    <mergeCell ref="J437:K437"/>
    <mergeCell ref="J438:K438"/>
    <mergeCell ref="J439:K439"/>
    <mergeCell ref="J440:K440"/>
    <mergeCell ref="D423:K423"/>
    <mergeCell ref="B352:C352"/>
    <mergeCell ref="B353:C353"/>
    <mergeCell ref="B354:C354"/>
    <mergeCell ref="B360:C360"/>
    <mergeCell ref="G353:H353"/>
    <mergeCell ref="G354:H354"/>
    <mergeCell ref="G355:H355"/>
    <mergeCell ref="G356:H356"/>
    <mergeCell ref="G357:H357"/>
    <mergeCell ref="G359:H359"/>
    <mergeCell ref="G360:H360"/>
    <mergeCell ref="J370:K370"/>
    <mergeCell ref="J371:K371"/>
    <mergeCell ref="J372:K372"/>
    <mergeCell ref="J377:K377"/>
    <mergeCell ref="J401:K401"/>
    <mergeCell ref="J357:K357"/>
    <mergeCell ref="J358:K358"/>
    <mergeCell ref="G384:H384"/>
    <mergeCell ref="G396:H396"/>
    <mergeCell ref="J388:K388"/>
    <mergeCell ref="J381:K381"/>
    <mergeCell ref="J396:K396"/>
    <mergeCell ref="J173:K173"/>
    <mergeCell ref="J93:K93"/>
    <mergeCell ref="J410:K410"/>
    <mergeCell ref="J411:K411"/>
    <mergeCell ref="J413:K413"/>
    <mergeCell ref="J414:K414"/>
    <mergeCell ref="A417:K417"/>
    <mergeCell ref="D418:K418"/>
    <mergeCell ref="A422:K422"/>
    <mergeCell ref="B347:C347"/>
    <mergeCell ref="B348:C348"/>
    <mergeCell ref="G344:H344"/>
    <mergeCell ref="G345:H345"/>
    <mergeCell ref="G346:H346"/>
    <mergeCell ref="G347:H347"/>
    <mergeCell ref="G348:H348"/>
    <mergeCell ref="J113:K113"/>
    <mergeCell ref="J122:K122"/>
    <mergeCell ref="J123:K123"/>
    <mergeCell ref="J124:K124"/>
    <mergeCell ref="J132:K132"/>
    <mergeCell ref="J133:K133"/>
    <mergeCell ref="J134:K134"/>
    <mergeCell ref="J125:K125"/>
    <mergeCell ref="G62:H62"/>
    <mergeCell ref="J62:K62"/>
    <mergeCell ref="G130:H130"/>
    <mergeCell ref="G131:H131"/>
    <mergeCell ref="A64:K64"/>
    <mergeCell ref="D65:K65"/>
    <mergeCell ref="G140:H140"/>
    <mergeCell ref="J89:K89"/>
    <mergeCell ref="J100:K100"/>
    <mergeCell ref="J101:K101"/>
    <mergeCell ref="J102:K102"/>
    <mergeCell ref="J103:K103"/>
    <mergeCell ref="J104:K104"/>
    <mergeCell ref="J95:K95"/>
    <mergeCell ref="J96:K96"/>
    <mergeCell ref="J97:K97"/>
    <mergeCell ref="J98:K98"/>
    <mergeCell ref="J99:K99"/>
    <mergeCell ref="J110:K110"/>
    <mergeCell ref="J111:K111"/>
    <mergeCell ref="J112:K112"/>
    <mergeCell ref="J85:K85"/>
    <mergeCell ref="J86:K86"/>
    <mergeCell ref="J87:K87"/>
    <mergeCell ref="A375:K375"/>
    <mergeCell ref="D376:K376"/>
    <mergeCell ref="A341:K341"/>
    <mergeCell ref="D342:K342"/>
    <mergeCell ref="J202:K202"/>
    <mergeCell ref="J204:K204"/>
    <mergeCell ref="J205:K205"/>
    <mergeCell ref="J206:K206"/>
    <mergeCell ref="J207:K207"/>
    <mergeCell ref="J208:K208"/>
    <mergeCell ref="J209:K209"/>
    <mergeCell ref="J239:K239"/>
    <mergeCell ref="J240:K240"/>
    <mergeCell ref="J203:K203"/>
    <mergeCell ref="J214:K214"/>
    <mergeCell ref="J215:K215"/>
    <mergeCell ref="J230:K230"/>
    <mergeCell ref="J236:K236"/>
    <mergeCell ref="J237:K237"/>
    <mergeCell ref="J235:K235"/>
    <mergeCell ref="J229:K229"/>
    <mergeCell ref="J241:K241"/>
    <mergeCell ref="J242:K242"/>
    <mergeCell ref="J247:K247"/>
    <mergeCell ref="J11:K11"/>
    <mergeCell ref="J12:K12"/>
    <mergeCell ref="J231:K231"/>
    <mergeCell ref="J343:K343"/>
    <mergeCell ref="G142:H142"/>
    <mergeCell ref="J142:K142"/>
    <mergeCell ref="B306:C306"/>
    <mergeCell ref="B307:C307"/>
    <mergeCell ref="B308:C308"/>
    <mergeCell ref="G306:H306"/>
    <mergeCell ref="G307:H307"/>
    <mergeCell ref="G308:H308"/>
    <mergeCell ref="J306:K306"/>
    <mergeCell ref="J307:K307"/>
    <mergeCell ref="J308:K308"/>
    <mergeCell ref="J200:K200"/>
    <mergeCell ref="J201:K201"/>
    <mergeCell ref="J178:K178"/>
    <mergeCell ref="J179:K179"/>
    <mergeCell ref="J180:K180"/>
    <mergeCell ref="J182:K182"/>
    <mergeCell ref="J183:K183"/>
    <mergeCell ref="J184:K184"/>
    <mergeCell ref="J185:K185"/>
  </mergeCells>
  <printOptions horizontalCentered="1"/>
  <pageMargins left="0.25" right="0.25" top="0.75" bottom="0.75" header="0.3" footer="0.3"/>
  <pageSetup paperSize="9" scale="52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694"/>
  <sheetViews>
    <sheetView topLeftCell="A1668" zoomScaleNormal="100" workbookViewId="0">
      <selection activeCell="H1684" sqref="H1684"/>
    </sheetView>
  </sheetViews>
  <sheetFormatPr defaultColWidth="8.88671875" defaultRowHeight="14.4" x14ac:dyDescent="0.3"/>
  <cols>
    <col min="1" max="1" width="6.5546875" style="126" customWidth="1"/>
    <col min="2" max="2" width="10.6640625" style="125" customWidth="1"/>
    <col min="3" max="3" width="8.44140625" style="126" customWidth="1"/>
    <col min="4" max="4" width="77.109375" style="127" bestFit="1" customWidth="1"/>
    <col min="5" max="5" width="9.109375" style="126" bestFit="1" customWidth="1"/>
    <col min="6" max="6" width="14" style="235" customWidth="1"/>
    <col min="7" max="7" width="22.6640625" style="235" customWidth="1"/>
    <col min="8" max="8" width="17.88671875" style="128" customWidth="1"/>
    <col min="9" max="9" width="14.5546875" style="128" customWidth="1"/>
    <col min="10" max="10" width="14.6640625" style="128" customWidth="1"/>
    <col min="11" max="16384" width="8.88671875" style="27"/>
  </cols>
  <sheetData>
    <row r="1" spans="1:10" x14ac:dyDescent="0.3">
      <c r="A1" s="406" t="s">
        <v>67</v>
      </c>
      <c r="B1" s="407"/>
      <c r="C1" s="407"/>
      <c r="D1" s="407"/>
      <c r="E1" s="407"/>
      <c r="F1" s="407"/>
      <c r="G1" s="407"/>
      <c r="H1" s="407"/>
      <c r="I1" s="407"/>
      <c r="J1" s="408"/>
    </row>
    <row r="2" spans="1:10" x14ac:dyDescent="0.3">
      <c r="A2" s="406" t="s">
        <v>1563</v>
      </c>
      <c r="B2" s="407"/>
      <c r="C2" s="407"/>
      <c r="D2" s="407"/>
      <c r="E2" s="407"/>
      <c r="F2" s="407"/>
      <c r="G2" s="407"/>
      <c r="H2" s="407"/>
      <c r="I2" s="407"/>
      <c r="J2" s="408"/>
    </row>
    <row r="3" spans="1:10" ht="15" thickBot="1" x14ac:dyDescent="0.35">
      <c r="A3" s="409" t="str">
        <f>ORÇAMENTO!A3</f>
        <v>Catalão 09 de março de 2020</v>
      </c>
      <c r="B3" s="410"/>
      <c r="C3" s="410"/>
      <c r="D3" s="410"/>
      <c r="E3" s="410"/>
      <c r="F3" s="410"/>
      <c r="G3" s="410"/>
      <c r="H3" s="410"/>
      <c r="I3" s="410"/>
      <c r="J3" s="411"/>
    </row>
    <row r="4" spans="1:10" ht="15" thickBot="1" x14ac:dyDescent="0.35">
      <c r="A4" s="70" t="s">
        <v>0</v>
      </c>
      <c r="B4" s="433" t="s">
        <v>1</v>
      </c>
      <c r="C4" s="434"/>
      <c r="D4" s="69" t="s">
        <v>2</v>
      </c>
      <c r="E4" s="70" t="s">
        <v>4</v>
      </c>
      <c r="F4" s="412" t="s">
        <v>68</v>
      </c>
      <c r="G4" s="413"/>
      <c r="H4" s="413"/>
      <c r="I4" s="413"/>
      <c r="J4" s="414"/>
    </row>
    <row r="5" spans="1:10" ht="15" thickBot="1" x14ac:dyDescent="0.35">
      <c r="A5" s="429" t="s">
        <v>9</v>
      </c>
      <c r="B5" s="430"/>
      <c r="C5" s="430"/>
      <c r="D5" s="430"/>
      <c r="E5" s="430"/>
      <c r="F5" s="430"/>
      <c r="G5" s="430"/>
      <c r="H5" s="430"/>
      <c r="I5" s="430"/>
      <c r="J5" s="431"/>
    </row>
    <row r="6" spans="1:10" x14ac:dyDescent="0.3">
      <c r="A6" s="246">
        <v>1</v>
      </c>
      <c r="B6" s="71" t="s">
        <v>10</v>
      </c>
      <c r="C6" s="72">
        <v>20000</v>
      </c>
      <c r="D6" s="435" t="s">
        <v>11</v>
      </c>
      <c r="E6" s="436"/>
      <c r="F6" s="436"/>
      <c r="G6" s="436"/>
      <c r="H6" s="436"/>
      <c r="I6" s="436"/>
      <c r="J6" s="437"/>
    </row>
    <row r="7" spans="1:10" x14ac:dyDescent="0.3">
      <c r="A7" s="247" t="str">
        <f>ORÇAMENTO!A7</f>
        <v>1.1</v>
      </c>
      <c r="B7" s="73" t="str">
        <f>ORÇAMENTO!B7</f>
        <v>GOINFRA</v>
      </c>
      <c r="C7" s="74">
        <f>ORÇAMENTO!C7</f>
        <v>20190</v>
      </c>
      <c r="D7" s="75" t="str">
        <f>ORÇAMENTO!D7</f>
        <v xml:space="preserve"> LIMPEZA MECANICA DE TERRENO </v>
      </c>
      <c r="E7" s="74" t="str">
        <f>ORÇAMENTO!F7</f>
        <v xml:space="preserve">m2 </v>
      </c>
      <c r="F7" s="354" t="s">
        <v>88</v>
      </c>
      <c r="G7" s="369"/>
      <c r="H7" s="369"/>
      <c r="I7" s="369"/>
      <c r="J7" s="370"/>
    </row>
    <row r="8" spans="1:10" x14ac:dyDescent="0.3">
      <c r="A8" s="247"/>
      <c r="B8" s="73"/>
      <c r="C8" s="74"/>
      <c r="D8" s="75" t="s">
        <v>93</v>
      </c>
      <c r="E8" s="74"/>
      <c r="F8" s="354">
        <v>15194.77</v>
      </c>
      <c r="G8" s="369"/>
      <c r="H8" s="369"/>
      <c r="I8" s="369"/>
      <c r="J8" s="370"/>
    </row>
    <row r="9" spans="1:10" ht="15" thickBot="1" x14ac:dyDescent="0.35">
      <c r="A9" s="364" t="s">
        <v>64</v>
      </c>
      <c r="B9" s="365"/>
      <c r="C9" s="365"/>
      <c r="D9" s="365"/>
      <c r="E9" s="365"/>
      <c r="F9" s="365"/>
      <c r="G9" s="365"/>
      <c r="H9" s="365"/>
      <c r="I9" s="366"/>
      <c r="J9" s="76">
        <f>F8</f>
        <v>15194.77</v>
      </c>
    </row>
    <row r="10" spans="1:10" ht="28.8" x14ac:dyDescent="0.3">
      <c r="A10" s="247" t="str">
        <f>ORÇAMENTO!A8</f>
        <v>1.2</v>
      </c>
      <c r="B10" s="73" t="str">
        <f>ORÇAMENTO!B8</f>
        <v>SINAPI</v>
      </c>
      <c r="C10" s="74">
        <f>ORÇAMENTO!C8</f>
        <v>10776</v>
      </c>
      <c r="D10" s="75" t="str">
        <f>ORÇAMENTO!D8</f>
        <v>LOCACAO DE CONTAINER 2,30 X 6,00 M, ALT. 2,50 M, PARA ESCRITORIO, SEM DIVISORIAS INTERNAS E SEM SANITARIO</v>
      </c>
      <c r="E10" s="74" t="str">
        <f>ORÇAMENTO!F8</f>
        <v>mês</v>
      </c>
      <c r="F10" s="394" t="s">
        <v>92</v>
      </c>
      <c r="G10" s="367"/>
      <c r="H10" s="367"/>
      <c r="I10" s="367"/>
      <c r="J10" s="368"/>
    </row>
    <row r="11" spans="1:10" x14ac:dyDescent="0.3">
      <c r="A11" s="247"/>
      <c r="B11" s="73"/>
      <c r="C11" s="74"/>
      <c r="D11" s="75" t="s">
        <v>91</v>
      </c>
      <c r="E11" s="74"/>
      <c r="F11" s="354">
        <v>12</v>
      </c>
      <c r="G11" s="369"/>
      <c r="H11" s="369"/>
      <c r="I11" s="369"/>
      <c r="J11" s="370"/>
    </row>
    <row r="12" spans="1:10" ht="15" thickBot="1" x14ac:dyDescent="0.35">
      <c r="A12" s="364" t="s">
        <v>64</v>
      </c>
      <c r="B12" s="365"/>
      <c r="C12" s="365"/>
      <c r="D12" s="365"/>
      <c r="E12" s="365"/>
      <c r="F12" s="365"/>
      <c r="G12" s="365"/>
      <c r="H12" s="365"/>
      <c r="I12" s="366"/>
      <c r="J12" s="76">
        <f>F11</f>
        <v>12</v>
      </c>
    </row>
    <row r="13" spans="1:10" ht="28.8" x14ac:dyDescent="0.3">
      <c r="A13" s="247" t="str">
        <f>ORÇAMENTO!A9</f>
        <v>1.3</v>
      </c>
      <c r="B13" s="73" t="str">
        <f>ORÇAMENTO!B9</f>
        <v>SINAPI</v>
      </c>
      <c r="C13" s="74">
        <f>ORÇAMENTO!C9</f>
        <v>10779</v>
      </c>
      <c r="D13" s="75" t="str">
        <f>ORÇAMENTO!D9</f>
        <v>LOCACAO DE CONTAINER 2,30 X 4,30 M, ALT. 2,50 M, P/ SANITARIO, C/ 5 BACIAS, 1 LAVATORIO E 4 MICTORIOS</v>
      </c>
      <c r="E13" s="74" t="str">
        <f>ORÇAMENTO!F9</f>
        <v>mês</v>
      </c>
      <c r="F13" s="394" t="s">
        <v>92</v>
      </c>
      <c r="G13" s="367"/>
      <c r="H13" s="367"/>
      <c r="I13" s="367"/>
      <c r="J13" s="368"/>
    </row>
    <row r="14" spans="1:10" x14ac:dyDescent="0.3">
      <c r="A14" s="247"/>
      <c r="B14" s="73"/>
      <c r="C14" s="74"/>
      <c r="D14" s="75" t="s">
        <v>91</v>
      </c>
      <c r="E14" s="74"/>
      <c r="F14" s="354">
        <v>12</v>
      </c>
      <c r="G14" s="369"/>
      <c r="H14" s="369"/>
      <c r="I14" s="369"/>
      <c r="J14" s="370"/>
    </row>
    <row r="15" spans="1:10" ht="15" thickBot="1" x14ac:dyDescent="0.35">
      <c r="A15" s="364" t="s">
        <v>64</v>
      </c>
      <c r="B15" s="365"/>
      <c r="C15" s="365"/>
      <c r="D15" s="365"/>
      <c r="E15" s="365"/>
      <c r="F15" s="365"/>
      <c r="G15" s="365"/>
      <c r="H15" s="365"/>
      <c r="I15" s="366"/>
      <c r="J15" s="76">
        <f>F14</f>
        <v>12</v>
      </c>
    </row>
    <row r="16" spans="1:10" ht="28.8" x14ac:dyDescent="0.3">
      <c r="A16" s="247" t="str">
        <f>ORÇAMENTO!A10</f>
        <v>1.4</v>
      </c>
      <c r="B16" s="74" t="str">
        <f>ORÇAMENTO!B10</f>
        <v>GOINFRA</v>
      </c>
      <c r="C16" s="74">
        <f>ORÇAMENTO!C10</f>
        <v>20107</v>
      </c>
      <c r="D16" s="75" t="str">
        <f>ORÇAMENTO!D10</f>
        <v>CORTE/DESTOC./RETIRADA/REATERRO (MANUAIS) DE ÁRVORE GRANDE PORTE ( H = 8 A 10M / DIÂMETRO TRONCO 60 A 70CM E COPA DE 10 A 13M ) C/TRANSP.ATE C.B.E CARGA</v>
      </c>
      <c r="E16" s="74" t="str">
        <f>ORÇAMENTO!F10</f>
        <v>und.</v>
      </c>
      <c r="F16" s="394" t="s">
        <v>89</v>
      </c>
      <c r="G16" s="367"/>
      <c r="H16" s="367"/>
      <c r="I16" s="367"/>
      <c r="J16" s="368"/>
    </row>
    <row r="17" spans="1:10" x14ac:dyDescent="0.3">
      <c r="A17" s="247"/>
      <c r="B17" s="73"/>
      <c r="C17" s="74"/>
      <c r="D17" s="75" t="s">
        <v>1451</v>
      </c>
      <c r="E17" s="74"/>
      <c r="F17" s="354">
        <v>2</v>
      </c>
      <c r="G17" s="369"/>
      <c r="H17" s="369"/>
      <c r="I17" s="369"/>
      <c r="J17" s="370"/>
    </row>
    <row r="18" spans="1:10" ht="15" thickBot="1" x14ac:dyDescent="0.35">
      <c r="A18" s="364" t="s">
        <v>64</v>
      </c>
      <c r="B18" s="365"/>
      <c r="C18" s="365"/>
      <c r="D18" s="365"/>
      <c r="E18" s="365"/>
      <c r="F18" s="365"/>
      <c r="G18" s="365"/>
      <c r="H18" s="365"/>
      <c r="I18" s="366"/>
      <c r="J18" s="80">
        <f>F17</f>
        <v>2</v>
      </c>
    </row>
    <row r="19" spans="1:10" ht="43.2" x14ac:dyDescent="0.3">
      <c r="A19" s="74" t="str">
        <f>ORÇAMENTO!A11</f>
        <v>1.5</v>
      </c>
      <c r="B19" s="77" t="str">
        <f>ORÇAMENTO!B11</f>
        <v>GOINFRA</v>
      </c>
      <c r="C19" s="74">
        <f>ORÇAMENTO!C11</f>
        <v>20303</v>
      </c>
      <c r="D19" s="75" t="str">
        <f>ORÇAMENTO!D11</f>
        <v xml:space="preserve">DEPÓSITO PARA CIMENTO TIPO II COM PINTURA PADRÃO GOINFRA (3,30 X 3,30 M) A=10,89M2 ( C/ REAPROV. 1 VEZ ) - INCLUSO PALETES
</v>
      </c>
      <c r="E19" s="74" t="str">
        <f>ORÇAMENTO!F11</f>
        <v>und.</v>
      </c>
      <c r="F19" s="363" t="s">
        <v>89</v>
      </c>
      <c r="G19" s="363"/>
      <c r="H19" s="363"/>
      <c r="I19" s="363"/>
      <c r="J19" s="363"/>
    </row>
    <row r="20" spans="1:10" x14ac:dyDescent="0.3">
      <c r="A20" s="74"/>
      <c r="B20" s="73"/>
      <c r="C20" s="74"/>
      <c r="D20" s="75" t="s">
        <v>1500</v>
      </c>
      <c r="E20" s="74"/>
      <c r="F20" s="363">
        <v>1</v>
      </c>
      <c r="G20" s="363"/>
      <c r="H20" s="363"/>
      <c r="I20" s="363"/>
      <c r="J20" s="363"/>
    </row>
    <row r="21" spans="1:10" ht="15" thickBot="1" x14ac:dyDescent="0.35">
      <c r="A21" s="364" t="s">
        <v>64</v>
      </c>
      <c r="B21" s="365"/>
      <c r="C21" s="365"/>
      <c r="D21" s="365"/>
      <c r="E21" s="365"/>
      <c r="F21" s="365"/>
      <c r="G21" s="365"/>
      <c r="H21" s="365"/>
      <c r="I21" s="366"/>
      <c r="J21" s="76">
        <f>F20</f>
        <v>1</v>
      </c>
    </row>
    <row r="22" spans="1:10" ht="43.2" x14ac:dyDescent="0.3">
      <c r="A22" s="74" t="str">
        <f>ORÇAMENTO!A12</f>
        <v>1.6</v>
      </c>
      <c r="B22" s="77" t="str">
        <f>ORÇAMENTO!B12</f>
        <v>GOINFRA</v>
      </c>
      <c r="C22" s="74">
        <f>ORÇAMENTO!C12</f>
        <v>20400</v>
      </c>
      <c r="D22" s="75" t="str">
        <f>ORÇAMENTO!D12</f>
        <v xml:space="preserve">LIGAÇÃO PROVISÓRIA DE ÁGUA ( INCLUSO RETIRADA DO ESGOTO SANITÁRIO) - PD.GOINFRA
</v>
      </c>
      <c r="E22" s="74" t="str">
        <f>ORÇAMENTO!F12</f>
        <v>und.</v>
      </c>
      <c r="F22" s="367" t="s">
        <v>89</v>
      </c>
      <c r="G22" s="367"/>
      <c r="H22" s="367"/>
      <c r="I22" s="367"/>
      <c r="J22" s="368"/>
    </row>
    <row r="23" spans="1:10" x14ac:dyDescent="0.3">
      <c r="A23" s="74"/>
      <c r="B23" s="73"/>
      <c r="C23" s="74"/>
      <c r="D23" s="75" t="s">
        <v>90</v>
      </c>
      <c r="E23" s="74"/>
      <c r="F23" s="369">
        <v>1</v>
      </c>
      <c r="G23" s="369"/>
      <c r="H23" s="369"/>
      <c r="I23" s="369"/>
      <c r="J23" s="370"/>
    </row>
    <row r="24" spans="1:10" ht="15" thickBot="1" x14ac:dyDescent="0.35">
      <c r="A24" s="364" t="s">
        <v>64</v>
      </c>
      <c r="B24" s="365"/>
      <c r="C24" s="365"/>
      <c r="D24" s="365"/>
      <c r="E24" s="365"/>
      <c r="F24" s="365"/>
      <c r="G24" s="365"/>
      <c r="H24" s="365"/>
      <c r="I24" s="366"/>
      <c r="J24" s="76">
        <f>F23</f>
        <v>1</v>
      </c>
    </row>
    <row r="25" spans="1:10" x14ac:dyDescent="0.3">
      <c r="A25" s="247" t="str">
        <f>ORÇAMENTO!A13</f>
        <v>1.7</v>
      </c>
      <c r="B25" s="73" t="str">
        <f>ORÇAMENTO!B13</f>
        <v>GOINFRA</v>
      </c>
      <c r="C25" s="74">
        <f>ORÇAMENTO!C13</f>
        <v>20501</v>
      </c>
      <c r="D25" s="75" t="str">
        <f>ORÇAMENTO!D13</f>
        <v xml:space="preserve">LIGAÇÃO PROVISÓRIA LUZ E FORÇA - PD. GOINFRA </v>
      </c>
      <c r="E25" s="74" t="str">
        <f>ORÇAMENTO!F13</f>
        <v>und.</v>
      </c>
      <c r="F25" s="394" t="s">
        <v>89</v>
      </c>
      <c r="G25" s="367"/>
      <c r="H25" s="367"/>
      <c r="I25" s="367"/>
      <c r="J25" s="368"/>
    </row>
    <row r="26" spans="1:10" x14ac:dyDescent="0.3">
      <c r="A26" s="247"/>
      <c r="B26" s="73"/>
      <c r="C26" s="74"/>
      <c r="D26" s="75" t="s">
        <v>90</v>
      </c>
      <c r="E26" s="74"/>
      <c r="F26" s="354">
        <v>1</v>
      </c>
      <c r="G26" s="369"/>
      <c r="H26" s="369"/>
      <c r="I26" s="369"/>
      <c r="J26" s="370"/>
    </row>
    <row r="27" spans="1:10" ht="15" thickBot="1" x14ac:dyDescent="0.35">
      <c r="A27" s="364" t="s">
        <v>64</v>
      </c>
      <c r="B27" s="365"/>
      <c r="C27" s="365"/>
      <c r="D27" s="365"/>
      <c r="E27" s="365"/>
      <c r="F27" s="365"/>
      <c r="G27" s="365"/>
      <c r="H27" s="365"/>
      <c r="I27" s="366"/>
      <c r="J27" s="76">
        <f>F26</f>
        <v>1</v>
      </c>
    </row>
    <row r="28" spans="1:10" ht="28.8" x14ac:dyDescent="0.3">
      <c r="A28" s="247" t="str">
        <f>ORÇAMENTO!A14</f>
        <v>1.8</v>
      </c>
      <c r="B28" s="73" t="str">
        <f>ORÇAMENTO!B14</f>
        <v>GOINFRA</v>
      </c>
      <c r="C28" s="74">
        <f>ORÇAMENTO!C14</f>
        <v>20701</v>
      </c>
      <c r="D28" s="75" t="str">
        <f>ORÇAMENTO!D14</f>
        <v xml:space="preserve"> LOCAÇÃO DA OBRA, EXECUÇÃO DE GABARITO SEM REAPROVEITAMENTO, INCLUSO PINTURA (FACE INTERNA DO RIPÃO 15CM) E PIQUETE COM TESTEMUNHA </v>
      </c>
      <c r="E28" s="74" t="str">
        <f>ORÇAMENTO!F14</f>
        <v xml:space="preserve">m2 </v>
      </c>
      <c r="F28" s="354" t="s">
        <v>88</v>
      </c>
      <c r="G28" s="369"/>
      <c r="H28" s="369"/>
      <c r="I28" s="369"/>
      <c r="J28" s="370"/>
    </row>
    <row r="29" spans="1:10" x14ac:dyDescent="0.3">
      <c r="A29" s="247"/>
      <c r="B29" s="73"/>
      <c r="C29" s="74"/>
      <c r="D29" s="75" t="s">
        <v>87</v>
      </c>
      <c r="E29" s="74"/>
      <c r="F29" s="354">
        <v>1733</v>
      </c>
      <c r="G29" s="369"/>
      <c r="H29" s="369"/>
      <c r="I29" s="369"/>
      <c r="J29" s="370"/>
    </row>
    <row r="30" spans="1:10" ht="15" thickBot="1" x14ac:dyDescent="0.35">
      <c r="A30" s="364" t="s">
        <v>64</v>
      </c>
      <c r="B30" s="365"/>
      <c r="C30" s="365"/>
      <c r="D30" s="365"/>
      <c r="E30" s="365"/>
      <c r="F30" s="365"/>
      <c r="G30" s="365"/>
      <c r="H30" s="365"/>
      <c r="I30" s="366"/>
      <c r="J30" s="76">
        <f>F29</f>
        <v>1733</v>
      </c>
    </row>
    <row r="31" spans="1:10" ht="28.8" x14ac:dyDescent="0.3">
      <c r="A31" s="247" t="str">
        <f>ORÇAMENTO!A15</f>
        <v>1.9</v>
      </c>
      <c r="B31" s="73" t="str">
        <f>ORÇAMENTO!B15</f>
        <v>GOINFRA</v>
      </c>
      <c r="C31" s="74">
        <f>ORÇAMENTO!C15</f>
        <v>20703</v>
      </c>
      <c r="D31" s="75" t="str">
        <f>ORÇAMENTO!D15</f>
        <v xml:space="preserve">LOCAÇÃO DE PRAÇA, QUADRA, IMPLANTAÇÃO UTILIZANDO CAVALETE, INCLUSO PIQUETE COM TESTEMUNHA </v>
      </c>
      <c r="E31" s="74" t="str">
        <f>ORÇAMENTO!F15</f>
        <v xml:space="preserve">m2 </v>
      </c>
      <c r="F31" s="354" t="s">
        <v>88</v>
      </c>
      <c r="G31" s="369"/>
      <c r="H31" s="369"/>
      <c r="I31" s="369"/>
      <c r="J31" s="370"/>
    </row>
    <row r="32" spans="1:10" x14ac:dyDescent="0.3">
      <c r="A32" s="247"/>
      <c r="B32" s="73"/>
      <c r="C32" s="74"/>
      <c r="D32" s="75" t="s">
        <v>94</v>
      </c>
      <c r="E32" s="74"/>
      <c r="F32" s="354">
        <f>16.1*26.95</f>
        <v>433.89500000000004</v>
      </c>
      <c r="G32" s="369"/>
      <c r="H32" s="369"/>
      <c r="I32" s="369"/>
      <c r="J32" s="370"/>
    </row>
    <row r="33" spans="1:10" x14ac:dyDescent="0.3">
      <c r="A33" s="247"/>
      <c r="B33" s="73"/>
      <c r="C33" s="74"/>
      <c r="D33" s="75" t="s">
        <v>95</v>
      </c>
      <c r="E33" s="74"/>
      <c r="F33" s="354">
        <f>42*22</f>
        <v>924</v>
      </c>
      <c r="G33" s="369"/>
      <c r="H33" s="369"/>
      <c r="I33" s="369"/>
      <c r="J33" s="370"/>
    </row>
    <row r="34" spans="1:10" x14ac:dyDescent="0.3">
      <c r="A34" s="247"/>
      <c r="B34" s="73"/>
      <c r="C34" s="74"/>
      <c r="D34" s="75" t="s">
        <v>96</v>
      </c>
      <c r="E34" s="74"/>
      <c r="F34" s="354">
        <f>32.1*12.4</f>
        <v>398.04</v>
      </c>
      <c r="G34" s="369"/>
      <c r="H34" s="369"/>
      <c r="I34" s="369"/>
      <c r="J34" s="370"/>
    </row>
    <row r="35" spans="1:10" x14ac:dyDescent="0.3">
      <c r="A35" s="247"/>
      <c r="B35" s="73"/>
      <c r="C35" s="74"/>
      <c r="D35" s="75" t="s">
        <v>97</v>
      </c>
      <c r="E35" s="74"/>
      <c r="F35" s="354">
        <f>12.65*25.1</f>
        <v>317.51500000000004</v>
      </c>
      <c r="G35" s="369"/>
      <c r="H35" s="369"/>
      <c r="I35" s="369"/>
      <c r="J35" s="370"/>
    </row>
    <row r="36" spans="1:10" ht="15" thickBot="1" x14ac:dyDescent="0.35">
      <c r="A36" s="364" t="s">
        <v>64</v>
      </c>
      <c r="B36" s="365"/>
      <c r="C36" s="365"/>
      <c r="D36" s="365"/>
      <c r="E36" s="365"/>
      <c r="F36" s="365"/>
      <c r="G36" s="365"/>
      <c r="H36" s="365"/>
      <c r="I36" s="366"/>
      <c r="J36" s="76">
        <f>SUM(F32:J35)</f>
        <v>2073.4499999999998</v>
      </c>
    </row>
    <row r="37" spans="1:10" x14ac:dyDescent="0.3">
      <c r="A37" s="247" t="str">
        <f>ORÇAMENTO!A16</f>
        <v>1.10</v>
      </c>
      <c r="B37" s="73" t="str">
        <f>ORÇAMENTO!B16</f>
        <v>GOINFRA</v>
      </c>
      <c r="C37" s="74">
        <f>ORÇAMENTO!C16</f>
        <v>20801</v>
      </c>
      <c r="D37" s="75" t="str">
        <f>ORÇAMENTO!D16</f>
        <v xml:space="preserve">ABERTURA DE POÇOS (CISTERNA) - ÁGUA POTÁVEL </v>
      </c>
      <c r="E37" s="74" t="str">
        <f>ORÇAMENTO!F16</f>
        <v xml:space="preserve">m </v>
      </c>
      <c r="F37" s="394" t="s">
        <v>99</v>
      </c>
      <c r="G37" s="367"/>
      <c r="H37" s="367"/>
      <c r="I37" s="367"/>
      <c r="J37" s="368"/>
    </row>
    <row r="38" spans="1:10" x14ac:dyDescent="0.3">
      <c r="A38" s="247"/>
      <c r="B38" s="73"/>
      <c r="C38" s="74"/>
      <c r="D38" s="75" t="s">
        <v>98</v>
      </c>
      <c r="E38" s="74"/>
      <c r="F38" s="354">
        <v>60</v>
      </c>
      <c r="G38" s="369"/>
      <c r="H38" s="369"/>
      <c r="I38" s="369"/>
      <c r="J38" s="370"/>
    </row>
    <row r="39" spans="1:10" ht="15" thickBot="1" x14ac:dyDescent="0.35">
      <c r="A39" s="364" t="s">
        <v>64</v>
      </c>
      <c r="B39" s="365"/>
      <c r="C39" s="365"/>
      <c r="D39" s="365"/>
      <c r="E39" s="365"/>
      <c r="F39" s="365"/>
      <c r="G39" s="365"/>
      <c r="H39" s="365"/>
      <c r="I39" s="366"/>
      <c r="J39" s="76">
        <f>F38</f>
        <v>60</v>
      </c>
    </row>
    <row r="40" spans="1:10" x14ac:dyDescent="0.3">
      <c r="A40" s="247" t="str">
        <f>ORÇAMENTO!A17</f>
        <v>1.11</v>
      </c>
      <c r="B40" s="73" t="str">
        <f>ORÇAMENTO!B17</f>
        <v>GOINFRA</v>
      </c>
      <c r="C40" s="74">
        <f>ORÇAMENTO!C17</f>
        <v>20807</v>
      </c>
      <c r="D40" s="75" t="str">
        <f>ORÇAMENTO!D17</f>
        <v>REVESTIMENTO DE POCOS (CISTERNA) C/TUBOS</v>
      </c>
      <c r="E40" s="74" t="str">
        <f>ORÇAMENTO!F17</f>
        <v xml:space="preserve">m </v>
      </c>
      <c r="F40" s="394" t="s">
        <v>99</v>
      </c>
      <c r="G40" s="367"/>
      <c r="H40" s="367"/>
      <c r="I40" s="367"/>
      <c r="J40" s="368"/>
    </row>
    <row r="41" spans="1:10" x14ac:dyDescent="0.3">
      <c r="A41" s="247"/>
      <c r="B41" s="73"/>
      <c r="C41" s="74"/>
      <c r="D41" s="75" t="s">
        <v>98</v>
      </c>
      <c r="E41" s="74"/>
      <c r="F41" s="354">
        <v>10</v>
      </c>
      <c r="G41" s="369"/>
      <c r="H41" s="369"/>
      <c r="I41" s="369"/>
      <c r="J41" s="370"/>
    </row>
    <row r="42" spans="1:10" ht="15" thickBot="1" x14ac:dyDescent="0.35">
      <c r="A42" s="364" t="s">
        <v>64</v>
      </c>
      <c r="B42" s="365"/>
      <c r="C42" s="365"/>
      <c r="D42" s="365"/>
      <c r="E42" s="365"/>
      <c r="F42" s="365"/>
      <c r="G42" s="365"/>
      <c r="H42" s="365"/>
      <c r="I42" s="366"/>
      <c r="J42" s="76">
        <f>F41</f>
        <v>10</v>
      </c>
    </row>
    <row r="43" spans="1:10" x14ac:dyDescent="0.3">
      <c r="A43" s="247" t="str">
        <f>ORÇAMENTO!A18</f>
        <v>1.12</v>
      </c>
      <c r="B43" s="73" t="str">
        <f>ORÇAMENTO!B18</f>
        <v>GOINFRA</v>
      </c>
      <c r="C43" s="74">
        <f>ORÇAMENTO!C18</f>
        <v>20808</v>
      </c>
      <c r="D43" s="75" t="str">
        <f>ORÇAMENTO!D18</f>
        <v xml:space="preserve">LAJE CIRCULAR PARA POÇOS (CISTERNA) COM ENCABEÇAMENTO </v>
      </c>
      <c r="E43" s="74" t="str">
        <f>ORÇAMENTO!F18</f>
        <v>und.</v>
      </c>
      <c r="F43" s="394" t="s">
        <v>89</v>
      </c>
      <c r="G43" s="367"/>
      <c r="H43" s="367"/>
      <c r="I43" s="367"/>
      <c r="J43" s="368"/>
    </row>
    <row r="44" spans="1:10" x14ac:dyDescent="0.3">
      <c r="A44" s="247"/>
      <c r="B44" s="73"/>
      <c r="C44" s="74"/>
      <c r="D44" s="75" t="s">
        <v>98</v>
      </c>
      <c r="E44" s="74"/>
      <c r="F44" s="354">
        <v>1</v>
      </c>
      <c r="G44" s="369"/>
      <c r="H44" s="369"/>
      <c r="I44" s="369"/>
      <c r="J44" s="370"/>
    </row>
    <row r="45" spans="1:10" ht="15" thickBot="1" x14ac:dyDescent="0.35">
      <c r="A45" s="364" t="s">
        <v>64</v>
      </c>
      <c r="B45" s="365"/>
      <c r="C45" s="365"/>
      <c r="D45" s="365"/>
      <c r="E45" s="365"/>
      <c r="F45" s="365"/>
      <c r="G45" s="365"/>
      <c r="H45" s="365"/>
      <c r="I45" s="366"/>
      <c r="J45" s="76">
        <f>F44</f>
        <v>1</v>
      </c>
    </row>
    <row r="46" spans="1:10" ht="28.8" x14ac:dyDescent="0.3">
      <c r="A46" s="247" t="str">
        <f>ORÇAMENTO!A19</f>
        <v>1.13</v>
      </c>
      <c r="B46" s="73" t="str">
        <f>ORÇAMENTO!B19</f>
        <v>GOINFRA</v>
      </c>
      <c r="C46" s="74">
        <f>ORÇAMENTO!C19</f>
        <v>21301</v>
      </c>
      <c r="D46" s="75" t="str">
        <f>ORÇAMENTO!D19</f>
        <v xml:space="preserve">PLACA DE OBRA PLOTADA EM CHAPA METÁLICA 26 , AFIXADA EM CAVALETES DE MADEIRA DE LEI (VIGOTAS 6X12CM) - PADRÃO GOINFRA </v>
      </c>
      <c r="E46" s="74" t="str">
        <f>ORÇAMENTO!F19</f>
        <v xml:space="preserve">m2 </v>
      </c>
      <c r="F46" s="377" t="s">
        <v>100</v>
      </c>
      <c r="G46" s="378"/>
      <c r="H46" s="371" t="s">
        <v>101</v>
      </c>
      <c r="I46" s="373"/>
      <c r="J46" s="76" t="s">
        <v>86</v>
      </c>
    </row>
    <row r="47" spans="1:10" x14ac:dyDescent="0.3">
      <c r="A47" s="247"/>
      <c r="B47" s="73"/>
      <c r="C47" s="74"/>
      <c r="D47" s="75" t="s">
        <v>102</v>
      </c>
      <c r="E47" s="74"/>
      <c r="F47" s="358">
        <v>1.5</v>
      </c>
      <c r="G47" s="359"/>
      <c r="H47" s="354">
        <v>2</v>
      </c>
      <c r="I47" s="355"/>
      <c r="J47" s="79">
        <f>H47*F47</f>
        <v>3</v>
      </c>
    </row>
    <row r="48" spans="1:10" ht="15" thickBot="1" x14ac:dyDescent="0.35">
      <c r="A48" s="364" t="s">
        <v>64</v>
      </c>
      <c r="B48" s="365"/>
      <c r="C48" s="365"/>
      <c r="D48" s="365"/>
      <c r="E48" s="365"/>
      <c r="F48" s="365"/>
      <c r="G48" s="365"/>
      <c r="H48" s="365"/>
      <c r="I48" s="366"/>
      <c r="J48" s="80">
        <f>J47</f>
        <v>3</v>
      </c>
    </row>
    <row r="49" spans="1:10" ht="15" thickBot="1" x14ac:dyDescent="0.35">
      <c r="A49" s="415" t="s">
        <v>19</v>
      </c>
      <c r="B49" s="416"/>
      <c r="C49" s="416"/>
      <c r="D49" s="416"/>
      <c r="E49" s="416"/>
      <c r="F49" s="416"/>
      <c r="G49" s="416"/>
      <c r="H49" s="416"/>
      <c r="I49" s="416"/>
      <c r="J49" s="417"/>
    </row>
    <row r="50" spans="1:10" x14ac:dyDescent="0.3">
      <c r="A50" s="246">
        <v>2</v>
      </c>
      <c r="B50" s="71" t="s">
        <v>10</v>
      </c>
      <c r="C50" s="81">
        <v>30000</v>
      </c>
      <c r="D50" s="400" t="s">
        <v>20</v>
      </c>
      <c r="E50" s="401"/>
      <c r="F50" s="401"/>
      <c r="G50" s="401"/>
      <c r="H50" s="401"/>
      <c r="I50" s="401"/>
      <c r="J50" s="402"/>
    </row>
    <row r="51" spans="1:10" x14ac:dyDescent="0.3">
      <c r="A51" s="247" t="str">
        <f>ORÇAMENTO!A23</f>
        <v>2.1</v>
      </c>
      <c r="B51" s="73" t="str">
        <f>ORÇAMENTO!B23</f>
        <v>GOINFRA</v>
      </c>
      <c r="C51" s="74">
        <v>30105</v>
      </c>
      <c r="D51" s="75" t="str">
        <f>ORÇAMENTO!D23</f>
        <v>TRANSPORTE DE ENTULHO CAÇAMBA ESTACIONÁRIA INCLUSO A CARGA MANUAL</v>
      </c>
      <c r="E51" s="74" t="str">
        <f>ORÇAMENTO!F23</f>
        <v xml:space="preserve">m3 </v>
      </c>
      <c r="F51" s="358" t="s">
        <v>104</v>
      </c>
      <c r="G51" s="359"/>
      <c r="H51" s="354" t="s">
        <v>105</v>
      </c>
      <c r="I51" s="355"/>
      <c r="J51" s="76" t="s">
        <v>86</v>
      </c>
    </row>
    <row r="52" spans="1:10" x14ac:dyDescent="0.3">
      <c r="A52" s="247"/>
      <c r="B52" s="73"/>
      <c r="C52" s="74"/>
      <c r="D52" s="75" t="s">
        <v>106</v>
      </c>
      <c r="E52" s="82"/>
      <c r="F52" s="358">
        <f>F29</f>
        <v>1733</v>
      </c>
      <c r="G52" s="359"/>
      <c r="H52" s="398">
        <v>7.0000000000000007E-2</v>
      </c>
      <c r="I52" s="399"/>
      <c r="J52" s="79">
        <f>H52*F52</f>
        <v>121.31000000000002</v>
      </c>
    </row>
    <row r="53" spans="1:10" x14ac:dyDescent="0.3">
      <c r="A53" s="247"/>
      <c r="B53" s="73"/>
      <c r="C53" s="74"/>
      <c r="D53" s="75" t="s">
        <v>1533</v>
      </c>
      <c r="E53" s="215"/>
      <c r="F53" s="358">
        <v>398.04</v>
      </c>
      <c r="G53" s="359"/>
      <c r="H53" s="398">
        <v>7.0000000000000007E-2</v>
      </c>
      <c r="I53" s="399"/>
      <c r="J53" s="216">
        <f>H53*F53</f>
        <v>27.862800000000004</v>
      </c>
    </row>
    <row r="54" spans="1:10" x14ac:dyDescent="0.3">
      <c r="A54" s="395" t="s">
        <v>64</v>
      </c>
      <c r="B54" s="396"/>
      <c r="C54" s="396"/>
      <c r="D54" s="396"/>
      <c r="E54" s="396"/>
      <c r="F54" s="396"/>
      <c r="G54" s="396"/>
      <c r="H54" s="396"/>
      <c r="I54" s="397"/>
      <c r="J54" s="214">
        <f>J52+J53</f>
        <v>149.17280000000002</v>
      </c>
    </row>
    <row r="55" spans="1:10" x14ac:dyDescent="0.3">
      <c r="A55" s="247" t="s">
        <v>1532</v>
      </c>
      <c r="B55" s="73" t="str">
        <f>ORÇAMENTO!B24</f>
        <v>GOINFRA</v>
      </c>
      <c r="C55" s="74">
        <v>30101</v>
      </c>
      <c r="D55" s="75" t="str">
        <f>ORÇAMENTO!D24</f>
        <v>TRANSPORTE DE ENTULHO EM CAMINHÃO SEM CARGA</v>
      </c>
      <c r="E55" s="74" t="s">
        <v>126</v>
      </c>
      <c r="F55" s="358" t="s">
        <v>104</v>
      </c>
      <c r="G55" s="359"/>
      <c r="H55" s="215" t="s">
        <v>1536</v>
      </c>
      <c r="I55" s="215" t="s">
        <v>1537</v>
      </c>
      <c r="J55" s="76" t="s">
        <v>86</v>
      </c>
    </row>
    <row r="56" spans="1:10" x14ac:dyDescent="0.3">
      <c r="A56" s="247"/>
      <c r="B56" s="73"/>
      <c r="C56" s="74"/>
      <c r="D56" s="75" t="s">
        <v>1535</v>
      </c>
      <c r="E56" s="215"/>
      <c r="F56" s="358">
        <f>F8</f>
        <v>15194.77</v>
      </c>
      <c r="G56" s="359"/>
      <c r="H56" s="215">
        <v>0.1</v>
      </c>
      <c r="I56" s="265">
        <v>0.25</v>
      </c>
      <c r="J56" s="216">
        <f>1.25*H56*F56</f>
        <v>1899.3462500000001</v>
      </c>
    </row>
    <row r="57" spans="1:10" ht="15" thickBot="1" x14ac:dyDescent="0.35">
      <c r="A57" s="364" t="s">
        <v>64</v>
      </c>
      <c r="B57" s="365"/>
      <c r="C57" s="365"/>
      <c r="D57" s="365"/>
      <c r="E57" s="365"/>
      <c r="F57" s="365"/>
      <c r="G57" s="365"/>
      <c r="H57" s="365"/>
      <c r="I57" s="366"/>
      <c r="J57" s="214">
        <f>J56</f>
        <v>1899.3462500000001</v>
      </c>
    </row>
    <row r="58" spans="1:10" ht="15" thickBot="1" x14ac:dyDescent="0.35">
      <c r="A58" s="415" t="s">
        <v>22</v>
      </c>
      <c r="B58" s="416"/>
      <c r="C58" s="416"/>
      <c r="D58" s="416"/>
      <c r="E58" s="416"/>
      <c r="F58" s="416"/>
      <c r="G58" s="416"/>
      <c r="H58" s="416"/>
      <c r="I58" s="416"/>
      <c r="J58" s="417"/>
    </row>
    <row r="59" spans="1:10" x14ac:dyDescent="0.3">
      <c r="A59" s="246">
        <v>3</v>
      </c>
      <c r="B59" s="71" t="s">
        <v>10</v>
      </c>
      <c r="C59" s="81">
        <v>40000</v>
      </c>
      <c r="D59" s="400" t="s">
        <v>23</v>
      </c>
      <c r="E59" s="401"/>
      <c r="F59" s="401"/>
      <c r="G59" s="401"/>
      <c r="H59" s="401"/>
      <c r="I59" s="401"/>
      <c r="J59" s="402"/>
    </row>
    <row r="60" spans="1:10" ht="42" customHeight="1" x14ac:dyDescent="0.3">
      <c r="A60" s="247" t="str">
        <f>ORÇAMENTO!A28</f>
        <v>3.1</v>
      </c>
      <c r="B60" s="73" t="str">
        <f>ORÇAMENTO!B28</f>
        <v>GOINFRA</v>
      </c>
      <c r="C60" s="74">
        <f>ORÇAMENTO!C28</f>
        <v>40101</v>
      </c>
      <c r="D60" s="75" t="str">
        <f>ORÇAMENTO!D28</f>
        <v xml:space="preserve">ESCAVACAO MANUAL DE VALAS &lt; 1 MTS. (OBRAS CIVIS) </v>
      </c>
      <c r="E60" s="74" t="str">
        <f>ORÇAMENTO!F28</f>
        <v xml:space="preserve">m3 </v>
      </c>
      <c r="F60" s="358" t="s">
        <v>115</v>
      </c>
      <c r="G60" s="359"/>
      <c r="H60" s="82" t="s">
        <v>117</v>
      </c>
      <c r="I60" s="82" t="s">
        <v>118</v>
      </c>
      <c r="J60" s="79" t="s">
        <v>86</v>
      </c>
    </row>
    <row r="61" spans="1:10" ht="99" customHeight="1" x14ac:dyDescent="0.3">
      <c r="A61" s="247"/>
      <c r="B61" s="73"/>
      <c r="C61" s="74"/>
      <c r="D61" s="75" t="s">
        <v>120</v>
      </c>
      <c r="E61" s="74"/>
      <c r="F61" s="358" t="s">
        <v>116</v>
      </c>
      <c r="G61" s="359"/>
      <c r="H61" s="82" t="s">
        <v>119</v>
      </c>
      <c r="I61" s="82">
        <v>0.4</v>
      </c>
      <c r="J61" s="76">
        <f>(346.06+77.06+29.2+32.95+32.8+44.57+3.65+(5*4.28)+4.11+(8*3.8)+(17*3.8)+4.35+10.15+7.4+7.4+7.3+5.52+3.8+3.8+3.65+3.8+2.15+3.65+3.8+6.59+(4*3.8)+5.7+3.8+(3*2.66)+(3*2.05)+88.99+12.39+3.22+8+5)*(0.15+0.14+0.15)*0.4</f>
        <v>161.31984</v>
      </c>
    </row>
    <row r="62" spans="1:10" ht="15" thickBot="1" x14ac:dyDescent="0.35">
      <c r="A62" s="364" t="s">
        <v>64</v>
      </c>
      <c r="B62" s="365"/>
      <c r="C62" s="365"/>
      <c r="D62" s="365"/>
      <c r="E62" s="365"/>
      <c r="F62" s="365"/>
      <c r="G62" s="365"/>
      <c r="H62" s="365"/>
      <c r="I62" s="366"/>
      <c r="J62" s="76">
        <f>J61</f>
        <v>161.31984</v>
      </c>
    </row>
    <row r="63" spans="1:10" x14ac:dyDescent="0.3">
      <c r="A63" s="247" t="str">
        <f>ORÇAMENTO!A29</f>
        <v>3.2</v>
      </c>
      <c r="B63" s="73" t="str">
        <f>ORÇAMENTO!B29</f>
        <v>GOINFRA</v>
      </c>
      <c r="C63" s="74">
        <f>ORÇAMENTO!C29</f>
        <v>41004</v>
      </c>
      <c r="D63" s="75" t="str">
        <f>ORÇAMENTO!D29</f>
        <v>ESCAVAÇÃO MECÂNICA</v>
      </c>
      <c r="E63" s="74" t="str">
        <f>ORÇAMENTO!F29</f>
        <v xml:space="preserve">m3 </v>
      </c>
      <c r="F63" s="358" t="s">
        <v>115</v>
      </c>
      <c r="G63" s="359"/>
      <c r="H63" s="82" t="s">
        <v>117</v>
      </c>
      <c r="I63" s="82" t="s">
        <v>1539</v>
      </c>
      <c r="J63" s="79" t="s">
        <v>86</v>
      </c>
    </row>
    <row r="64" spans="1:10" x14ac:dyDescent="0.3">
      <c r="A64" s="247"/>
      <c r="B64" s="73"/>
      <c r="C64" s="74"/>
      <c r="D64" s="75" t="s">
        <v>97</v>
      </c>
      <c r="E64" s="74"/>
      <c r="F64" s="358">
        <v>25.1</v>
      </c>
      <c r="G64" s="359"/>
      <c r="H64" s="82">
        <v>12.65</v>
      </c>
      <c r="I64" s="82">
        <v>1.45</v>
      </c>
      <c r="J64" s="79">
        <f>I64*H64*F64</f>
        <v>460.39675000000005</v>
      </c>
    </row>
    <row r="65" spans="1:10" ht="15" thickBot="1" x14ac:dyDescent="0.35">
      <c r="A65" s="364" t="s">
        <v>64</v>
      </c>
      <c r="B65" s="365"/>
      <c r="C65" s="365"/>
      <c r="D65" s="365"/>
      <c r="E65" s="365"/>
      <c r="F65" s="365"/>
      <c r="G65" s="365"/>
      <c r="H65" s="365"/>
      <c r="I65" s="366"/>
      <c r="J65" s="266">
        <f>J64</f>
        <v>460.39675000000005</v>
      </c>
    </row>
    <row r="66" spans="1:10" x14ac:dyDescent="0.3">
      <c r="A66" s="247" t="str">
        <f>ORÇAMENTO!A30</f>
        <v>3.3</v>
      </c>
      <c r="B66" s="74" t="str">
        <f>ORÇAMENTO!B30</f>
        <v>GOINFRA</v>
      </c>
      <c r="C66" s="74">
        <f>ORÇAMENTO!C30</f>
        <v>40104</v>
      </c>
      <c r="D66" s="75" t="str">
        <f>ORÇAMENTO!D30</f>
        <v xml:space="preserve">ESCAVAÇAO MANUAL DE VALAS PROF. 2 A 4 M </v>
      </c>
      <c r="E66" s="74" t="str">
        <f>ORÇAMENTO!F30</f>
        <v xml:space="preserve">m3 </v>
      </c>
      <c r="F66" s="358" t="s">
        <v>115</v>
      </c>
      <c r="G66" s="359"/>
      <c r="H66" s="82" t="s">
        <v>117</v>
      </c>
      <c r="I66" s="82" t="s">
        <v>118</v>
      </c>
      <c r="J66" s="79" t="s">
        <v>86</v>
      </c>
    </row>
    <row r="67" spans="1:10" x14ac:dyDescent="0.3">
      <c r="A67" s="247"/>
      <c r="B67" s="73"/>
      <c r="C67" s="74"/>
      <c r="D67" s="75" t="s">
        <v>1454</v>
      </c>
      <c r="E67" s="74"/>
      <c r="F67" s="358">
        <v>3</v>
      </c>
      <c r="G67" s="359"/>
      <c r="H67" s="82">
        <v>3</v>
      </c>
      <c r="I67" s="82">
        <v>2.75</v>
      </c>
      <c r="J67" s="79">
        <f>I67*H67*F67</f>
        <v>24.75</v>
      </c>
    </row>
    <row r="68" spans="1:10" ht="15" thickBot="1" x14ac:dyDescent="0.35">
      <c r="A68" s="364" t="s">
        <v>64</v>
      </c>
      <c r="B68" s="365"/>
      <c r="C68" s="365"/>
      <c r="D68" s="365"/>
      <c r="E68" s="365"/>
      <c r="F68" s="365"/>
      <c r="G68" s="365"/>
      <c r="H68" s="365"/>
      <c r="I68" s="366"/>
      <c r="J68" s="80">
        <f>J67</f>
        <v>24.75</v>
      </c>
    </row>
    <row r="69" spans="1:10" x14ac:dyDescent="0.3">
      <c r="A69" s="247" t="str">
        <f>ORÇAMENTO!A31</f>
        <v>3.4</v>
      </c>
      <c r="B69" s="73" t="str">
        <f>ORÇAMENTO!B31</f>
        <v>GOINFRA</v>
      </c>
      <c r="C69" s="74">
        <f>ORÇAMENTO!C31</f>
        <v>40902</v>
      </c>
      <c r="D69" s="75" t="str">
        <f>ORÇAMENTO!D31</f>
        <v xml:space="preserve">REATERRO COM APILOAMENTO </v>
      </c>
      <c r="E69" s="74" t="str">
        <f>ORÇAMENTO!F31</f>
        <v xml:space="preserve">m3 </v>
      </c>
      <c r="F69" s="358" t="s">
        <v>115</v>
      </c>
      <c r="G69" s="359"/>
      <c r="H69" s="82" t="s">
        <v>117</v>
      </c>
      <c r="I69" s="82" t="s">
        <v>118</v>
      </c>
      <c r="J69" s="79" t="s">
        <v>86</v>
      </c>
    </row>
    <row r="70" spans="1:10" ht="94.5" customHeight="1" x14ac:dyDescent="0.3">
      <c r="A70" s="247"/>
      <c r="B70" s="73"/>
      <c r="C70" s="74"/>
      <c r="D70" s="75" t="s">
        <v>120</v>
      </c>
      <c r="E70" s="74"/>
      <c r="F70" s="358" t="s">
        <v>116</v>
      </c>
      <c r="G70" s="359"/>
      <c r="H70" s="82" t="s">
        <v>121</v>
      </c>
      <c r="I70" s="82">
        <v>0.4</v>
      </c>
      <c r="J70" s="76">
        <f>(346.06+77.06+29.2+32.95+32.8+44.57+3.65+(5*4.28)+4.11+(8*3.8)+(17*3.8)+4.35+10.15+7.4+7.4+7.3+5.52+3.8+3.8+3.65+3.8+2.15+3.65+3.8+6.59+(4*3.8)+5.7+3.8+(3*2.66)+(3*2.05)+88.99+12.39+3.22+8+5)*(0.15+0.15)*0.4</f>
        <v>109.99079999999998</v>
      </c>
    </row>
    <row r="71" spans="1:10" x14ac:dyDescent="0.3">
      <c r="A71" s="247"/>
      <c r="B71" s="73"/>
      <c r="C71" s="74"/>
      <c r="D71" s="75" t="s">
        <v>1454</v>
      </c>
      <c r="E71" s="74"/>
      <c r="F71" s="358" t="s">
        <v>1467</v>
      </c>
      <c r="G71" s="359"/>
      <c r="H71" s="82">
        <v>0.5</v>
      </c>
      <c r="I71" s="82">
        <v>2.75</v>
      </c>
      <c r="J71" s="79">
        <f>(2.5*4)*H71*I71</f>
        <v>13.75</v>
      </c>
    </row>
    <row r="72" spans="1:10" x14ac:dyDescent="0.3">
      <c r="A72" s="248"/>
      <c r="B72" s="83"/>
      <c r="C72" s="84"/>
      <c r="D72" s="85" t="s">
        <v>1524</v>
      </c>
      <c r="E72" s="84"/>
      <c r="F72" s="403">
        <v>0.9</v>
      </c>
      <c r="G72" s="404"/>
      <c r="H72" s="404"/>
      <c r="I72" s="405"/>
      <c r="J72" s="223">
        <f>F72</f>
        <v>0.9</v>
      </c>
    </row>
    <row r="73" spans="1:10" s="273" customFormat="1" ht="15" thickBot="1" x14ac:dyDescent="0.35">
      <c r="A73" s="391" t="s">
        <v>64</v>
      </c>
      <c r="B73" s="392"/>
      <c r="C73" s="392"/>
      <c r="D73" s="392"/>
      <c r="E73" s="392"/>
      <c r="F73" s="392"/>
      <c r="G73" s="392"/>
      <c r="H73" s="392"/>
      <c r="I73" s="393"/>
      <c r="J73" s="272">
        <f>(J71+J70)/0.9</f>
        <v>137.48977777777776</v>
      </c>
    </row>
    <row r="74" spans="1:10" ht="28.8" x14ac:dyDescent="0.3">
      <c r="A74" s="247" t="str">
        <f>ORÇAMENTO!A32</f>
        <v>3.5</v>
      </c>
      <c r="B74" s="73" t="str">
        <f>ORÇAMENTO!B32</f>
        <v>GOINFRA</v>
      </c>
      <c r="C74" s="74">
        <f>ORÇAMENTO!C32</f>
        <v>41140</v>
      </c>
      <c r="D74" s="75" t="str">
        <f>ORÇAMENTO!D32</f>
        <v xml:space="preserve">REGULARIZAÇÃO DO TERRENO SEM APILOAMENTO COM TRANSPORTE MANUAL DA TERRA ESCAVADA </v>
      </c>
      <c r="E74" s="74" t="str">
        <f>ORÇAMENTO!F32</f>
        <v xml:space="preserve">m2 </v>
      </c>
      <c r="F74" s="371" t="s">
        <v>88</v>
      </c>
      <c r="G74" s="372"/>
      <c r="H74" s="372"/>
      <c r="I74" s="372"/>
      <c r="J74" s="79" t="s">
        <v>86</v>
      </c>
    </row>
    <row r="75" spans="1:10" x14ac:dyDescent="0.3">
      <c r="A75" s="247"/>
      <c r="B75" s="73"/>
      <c r="C75" s="74"/>
      <c r="D75" s="75" t="s">
        <v>94</v>
      </c>
      <c r="E75" s="74"/>
      <c r="F75" s="354">
        <f>F81</f>
        <v>433.89500000000004</v>
      </c>
      <c r="G75" s="369"/>
      <c r="H75" s="369"/>
      <c r="I75" s="355"/>
      <c r="J75" s="79">
        <f>F75</f>
        <v>433.89500000000004</v>
      </c>
    </row>
    <row r="76" spans="1:10" x14ac:dyDescent="0.3">
      <c r="A76" s="247"/>
      <c r="B76" s="73"/>
      <c r="C76" s="74"/>
      <c r="D76" s="75" t="s">
        <v>95</v>
      </c>
      <c r="E76" s="74"/>
      <c r="F76" s="354">
        <f>F82</f>
        <v>924</v>
      </c>
      <c r="G76" s="369"/>
      <c r="H76" s="369"/>
      <c r="I76" s="355"/>
      <c r="J76" s="79">
        <f>F76</f>
        <v>924</v>
      </c>
    </row>
    <row r="77" spans="1:10" x14ac:dyDescent="0.3">
      <c r="A77" s="247"/>
      <c r="B77" s="73"/>
      <c r="C77" s="74"/>
      <c r="D77" s="75" t="s">
        <v>96</v>
      </c>
      <c r="E77" s="74"/>
      <c r="F77" s="354">
        <f>F83</f>
        <v>398.04</v>
      </c>
      <c r="G77" s="369"/>
      <c r="H77" s="369"/>
      <c r="I77" s="355"/>
      <c r="J77" s="79">
        <f>F77</f>
        <v>398.04</v>
      </c>
    </row>
    <row r="78" spans="1:10" x14ac:dyDescent="0.3">
      <c r="A78" s="248"/>
      <c r="B78" s="83"/>
      <c r="C78" s="84"/>
      <c r="D78" s="75" t="s">
        <v>1540</v>
      </c>
      <c r="E78" s="74"/>
      <c r="F78" s="354">
        <v>2055.9499999999998</v>
      </c>
      <c r="G78" s="369"/>
      <c r="H78" s="369"/>
      <c r="I78" s="355"/>
      <c r="J78" s="79">
        <f>F78</f>
        <v>2055.9499999999998</v>
      </c>
    </row>
    <row r="79" spans="1:10" ht="15" thickBot="1" x14ac:dyDescent="0.35">
      <c r="A79" s="364" t="s">
        <v>64</v>
      </c>
      <c r="B79" s="365"/>
      <c r="C79" s="365"/>
      <c r="D79" s="365"/>
      <c r="E79" s="365"/>
      <c r="F79" s="365"/>
      <c r="G79" s="365"/>
      <c r="H79" s="365"/>
      <c r="I79" s="366"/>
      <c r="J79" s="266">
        <f>SUM(J75:J78)</f>
        <v>3811.8849999999998</v>
      </c>
    </row>
    <row r="80" spans="1:10" x14ac:dyDescent="0.3">
      <c r="A80" s="247" t="str">
        <f>ORÇAMENTO!A33</f>
        <v>3.6</v>
      </c>
      <c r="B80" s="73" t="str">
        <f>ORÇAMENTO!B33</f>
        <v>GOINFRA</v>
      </c>
      <c r="C80" s="74">
        <f>ORÇAMENTO!C33</f>
        <v>41009</v>
      </c>
      <c r="D80" s="86" t="str">
        <f>ORÇAMENTO!D33</f>
        <v xml:space="preserve">COMPACTAÇÃO MECÂNICA SEM CONTROLE LABORATÓRIO </v>
      </c>
      <c r="E80" s="74" t="str">
        <f>ORÇAMENTO!F33</f>
        <v xml:space="preserve">m3 </v>
      </c>
      <c r="F80" s="377" t="s">
        <v>88</v>
      </c>
      <c r="G80" s="458"/>
      <c r="H80" s="378"/>
      <c r="I80" s="82" t="s">
        <v>118</v>
      </c>
      <c r="J80" s="79" t="s">
        <v>86</v>
      </c>
    </row>
    <row r="81" spans="1:10" x14ac:dyDescent="0.3">
      <c r="A81" s="247"/>
      <c r="B81" s="73"/>
      <c r="C81" s="74"/>
      <c r="D81" s="75" t="s">
        <v>1053</v>
      </c>
      <c r="E81" s="74"/>
      <c r="F81" s="354">
        <f>16.1*26.95</f>
        <v>433.89500000000004</v>
      </c>
      <c r="G81" s="369"/>
      <c r="H81" s="355"/>
      <c r="I81" s="82">
        <v>0.2</v>
      </c>
      <c r="J81" s="79">
        <f>I81*F81</f>
        <v>86.779000000000011</v>
      </c>
    </row>
    <row r="82" spans="1:10" x14ac:dyDescent="0.3">
      <c r="A82" s="247"/>
      <c r="B82" s="73"/>
      <c r="C82" s="74"/>
      <c r="D82" s="75" t="s">
        <v>95</v>
      </c>
      <c r="E82" s="74"/>
      <c r="F82" s="354">
        <f>42*22</f>
        <v>924</v>
      </c>
      <c r="G82" s="369"/>
      <c r="H82" s="355"/>
      <c r="I82" s="82">
        <v>0.2</v>
      </c>
      <c r="J82" s="79">
        <f>I82*F82</f>
        <v>184.8</v>
      </c>
    </row>
    <row r="83" spans="1:10" x14ac:dyDescent="0.3">
      <c r="A83" s="247"/>
      <c r="B83" s="73"/>
      <c r="C83" s="74"/>
      <c r="D83" s="75" t="s">
        <v>96</v>
      </c>
      <c r="E83" s="74"/>
      <c r="F83" s="354">
        <f>32.1*12.4</f>
        <v>398.04</v>
      </c>
      <c r="G83" s="369"/>
      <c r="H83" s="355"/>
      <c r="I83" s="82">
        <v>0.2</v>
      </c>
      <c r="J83" s="79">
        <f>I83*F83</f>
        <v>79.608000000000004</v>
      </c>
    </row>
    <row r="84" spans="1:10" x14ac:dyDescent="0.3">
      <c r="A84" s="248"/>
      <c r="B84" s="83"/>
      <c r="C84" s="84"/>
      <c r="D84" s="75" t="s">
        <v>87</v>
      </c>
      <c r="E84" s="74"/>
      <c r="F84" s="354">
        <f>F78</f>
        <v>2055.9499999999998</v>
      </c>
      <c r="G84" s="369"/>
      <c r="H84" s="355"/>
      <c r="I84" s="82">
        <v>0.2</v>
      </c>
      <c r="J84" s="79">
        <f>I84*F84</f>
        <v>411.19</v>
      </c>
    </row>
    <row r="85" spans="1:10" x14ac:dyDescent="0.3">
      <c r="A85" s="395" t="s">
        <v>64</v>
      </c>
      <c r="B85" s="396"/>
      <c r="C85" s="396"/>
      <c r="D85" s="396"/>
      <c r="E85" s="396"/>
      <c r="F85" s="396"/>
      <c r="G85" s="396"/>
      <c r="H85" s="396"/>
      <c r="I85" s="397"/>
      <c r="J85" s="266">
        <f>SUM(J81:J84)</f>
        <v>762.37699999999995</v>
      </c>
    </row>
    <row r="86" spans="1:10" ht="15" thickBot="1" x14ac:dyDescent="0.35">
      <c r="A86" s="415" t="s">
        <v>24</v>
      </c>
      <c r="B86" s="416"/>
      <c r="C86" s="416"/>
      <c r="D86" s="416"/>
      <c r="E86" s="416"/>
      <c r="F86" s="416"/>
      <c r="G86" s="416"/>
      <c r="H86" s="416"/>
      <c r="I86" s="416"/>
      <c r="J86" s="417"/>
    </row>
    <row r="87" spans="1:10" x14ac:dyDescent="0.3">
      <c r="A87" s="249">
        <v>4</v>
      </c>
      <c r="B87" s="87" t="s">
        <v>25</v>
      </c>
      <c r="C87" s="81">
        <v>50000</v>
      </c>
      <c r="D87" s="400" t="s">
        <v>26</v>
      </c>
      <c r="E87" s="401"/>
      <c r="F87" s="401"/>
      <c r="G87" s="401"/>
      <c r="H87" s="401"/>
      <c r="I87" s="401"/>
      <c r="J87" s="402"/>
    </row>
    <row r="88" spans="1:10" x14ac:dyDescent="0.3">
      <c r="A88" s="247" t="str">
        <f>ORÇAMENTO!A37</f>
        <v>4.1</v>
      </c>
      <c r="B88" s="73" t="str">
        <f>ORÇAMENTO!B37</f>
        <v>GOINFRA</v>
      </c>
      <c r="C88" s="74">
        <f>ORÇAMENTO!C37</f>
        <v>50302</v>
      </c>
      <c r="D88" s="75" t="str">
        <f>ORÇAMENTO!D37</f>
        <v xml:space="preserve">ESTACA A TRADO DIAM.30 CM SEM FERRO </v>
      </c>
      <c r="E88" s="74" t="str">
        <f>ORÇAMENTO!F37</f>
        <v>m</v>
      </c>
      <c r="F88" s="358" t="s">
        <v>89</v>
      </c>
      <c r="G88" s="359"/>
      <c r="H88" s="354" t="s">
        <v>99</v>
      </c>
      <c r="I88" s="355"/>
      <c r="J88" s="79" t="s">
        <v>86</v>
      </c>
    </row>
    <row r="89" spans="1:10" x14ac:dyDescent="0.3">
      <c r="A89" s="247"/>
      <c r="B89" s="73"/>
      <c r="C89" s="74"/>
      <c r="D89" s="75" t="s">
        <v>140</v>
      </c>
      <c r="E89" s="74"/>
      <c r="F89" s="358" t="s">
        <v>139</v>
      </c>
      <c r="G89" s="359"/>
      <c r="H89" s="354">
        <v>5</v>
      </c>
      <c r="I89" s="355"/>
      <c r="J89" s="76">
        <f>(151+56+4)*H89</f>
        <v>1055</v>
      </c>
    </row>
    <row r="90" spans="1:10" ht="15" thickBot="1" x14ac:dyDescent="0.35">
      <c r="A90" s="364" t="s">
        <v>64</v>
      </c>
      <c r="B90" s="365"/>
      <c r="C90" s="365"/>
      <c r="D90" s="365"/>
      <c r="E90" s="365"/>
      <c r="F90" s="365"/>
      <c r="G90" s="365"/>
      <c r="H90" s="365"/>
      <c r="I90" s="366"/>
      <c r="J90" s="266">
        <f>J89</f>
        <v>1055</v>
      </c>
    </row>
    <row r="91" spans="1:10" x14ac:dyDescent="0.3">
      <c r="A91" s="247" t="str">
        <f>ORÇAMENTO!A38</f>
        <v>4.2</v>
      </c>
      <c r="B91" s="73" t="str">
        <f>ORÇAMENTO!B38</f>
        <v>GOINFRA</v>
      </c>
      <c r="C91" s="74">
        <f>ORÇAMENTO!C38</f>
        <v>50901</v>
      </c>
      <c r="D91" s="75" t="str">
        <f>ORÇAMENTO!D38</f>
        <v xml:space="preserve">ESCAVACAO MANUAL DE VALAS (SAPATAS/BLOCOS) </v>
      </c>
      <c r="E91" s="74" t="str">
        <f>ORÇAMENTO!F38</f>
        <v xml:space="preserve">m3 </v>
      </c>
      <c r="F91" s="88" t="s">
        <v>89</v>
      </c>
      <c r="G91" s="88" t="s">
        <v>117</v>
      </c>
      <c r="H91" s="82" t="s">
        <v>101</v>
      </c>
      <c r="I91" s="82" t="s">
        <v>118</v>
      </c>
      <c r="J91" s="79" t="s">
        <v>86</v>
      </c>
    </row>
    <row r="92" spans="1:10" x14ac:dyDescent="0.3">
      <c r="A92" s="247"/>
      <c r="B92" s="73"/>
      <c r="C92" s="74"/>
      <c r="D92" s="75" t="s">
        <v>523</v>
      </c>
      <c r="E92" s="74"/>
      <c r="F92" s="88">
        <v>2</v>
      </c>
      <c r="G92" s="88">
        <v>1.4</v>
      </c>
      <c r="H92" s="82">
        <v>0.5</v>
      </c>
      <c r="I92" s="82">
        <v>0.5</v>
      </c>
      <c r="J92" s="76">
        <f>I92*H92*G92*F92</f>
        <v>0.7</v>
      </c>
    </row>
    <row r="93" spans="1:10" x14ac:dyDescent="0.3">
      <c r="A93" s="248"/>
      <c r="B93" s="83"/>
      <c r="C93" s="84"/>
      <c r="D93" s="75" t="s">
        <v>524</v>
      </c>
      <c r="E93" s="84"/>
      <c r="F93" s="88">
        <v>26</v>
      </c>
      <c r="G93" s="88">
        <v>1.4</v>
      </c>
      <c r="H93" s="82">
        <v>0.5</v>
      </c>
      <c r="I93" s="82">
        <v>0.55000000000000004</v>
      </c>
      <c r="J93" s="76">
        <f>I93*H93*G93*F93</f>
        <v>10.01</v>
      </c>
    </row>
    <row r="94" spans="1:10" x14ac:dyDescent="0.3">
      <c r="A94" s="248"/>
      <c r="B94" s="83"/>
      <c r="C94" s="84"/>
      <c r="D94" s="75" t="s">
        <v>525</v>
      </c>
      <c r="E94" s="84"/>
      <c r="F94" s="88">
        <v>151</v>
      </c>
      <c r="G94" s="88">
        <v>0.5</v>
      </c>
      <c r="H94" s="82">
        <v>0.5</v>
      </c>
      <c r="I94" s="82">
        <v>0.5</v>
      </c>
      <c r="J94" s="76">
        <f>I94*H94*G94*F94</f>
        <v>18.875</v>
      </c>
    </row>
    <row r="95" spans="1:10" ht="15" thickBot="1" x14ac:dyDescent="0.35">
      <c r="A95" s="364" t="s">
        <v>64</v>
      </c>
      <c r="B95" s="365"/>
      <c r="C95" s="365"/>
      <c r="D95" s="365"/>
      <c r="E95" s="365"/>
      <c r="F95" s="365"/>
      <c r="G95" s="365"/>
      <c r="H95" s="365"/>
      <c r="I95" s="366"/>
      <c r="J95" s="266">
        <f>SUM(J92:J94)</f>
        <v>29.585000000000001</v>
      </c>
    </row>
    <row r="96" spans="1:10" x14ac:dyDescent="0.3">
      <c r="A96" s="247" t="str">
        <f>ORÇAMENTO!A39</f>
        <v>4.3</v>
      </c>
      <c r="B96" s="73" t="str">
        <f>ORÇAMENTO!B39</f>
        <v>GOINFRA</v>
      </c>
      <c r="C96" s="74">
        <f>ORÇAMENTO!C39</f>
        <v>50902</v>
      </c>
      <c r="D96" s="75" t="str">
        <f>ORÇAMENTO!D39</f>
        <v>APILOAMENTO (BLOCOS/SAPATAS)</v>
      </c>
      <c r="E96" s="74" t="str">
        <f>ORÇAMENTO!F39</f>
        <v xml:space="preserve"> m2 </v>
      </c>
      <c r="F96" s="88" t="s">
        <v>89</v>
      </c>
      <c r="G96" s="88" t="s">
        <v>117</v>
      </c>
      <c r="H96" s="371" t="s">
        <v>101</v>
      </c>
      <c r="I96" s="373"/>
      <c r="J96" s="79" t="s">
        <v>86</v>
      </c>
    </row>
    <row r="97" spans="1:10" x14ac:dyDescent="0.3">
      <c r="A97" s="247"/>
      <c r="B97" s="73"/>
      <c r="C97" s="74"/>
      <c r="D97" s="75" t="s">
        <v>523</v>
      </c>
      <c r="E97" s="74"/>
      <c r="F97" s="88">
        <v>2</v>
      </c>
      <c r="G97" s="88">
        <v>1.4</v>
      </c>
      <c r="H97" s="354">
        <v>0.5</v>
      </c>
      <c r="I97" s="355"/>
      <c r="J97" s="76">
        <f>H97*G97*F97</f>
        <v>1.4</v>
      </c>
    </row>
    <row r="98" spans="1:10" x14ac:dyDescent="0.3">
      <c r="A98" s="248"/>
      <c r="B98" s="83"/>
      <c r="C98" s="84"/>
      <c r="D98" s="75" t="s">
        <v>524</v>
      </c>
      <c r="E98" s="84"/>
      <c r="F98" s="88">
        <v>26</v>
      </c>
      <c r="G98" s="88">
        <v>1.4</v>
      </c>
      <c r="H98" s="354">
        <v>0.55000000000000004</v>
      </c>
      <c r="I98" s="355"/>
      <c r="J98" s="76">
        <f>H98*G98*F98</f>
        <v>20.02</v>
      </c>
    </row>
    <row r="99" spans="1:10" x14ac:dyDescent="0.3">
      <c r="A99" s="248"/>
      <c r="B99" s="83"/>
      <c r="C99" s="84"/>
      <c r="D99" s="75" t="s">
        <v>525</v>
      </c>
      <c r="E99" s="84"/>
      <c r="F99" s="88">
        <v>151</v>
      </c>
      <c r="G99" s="88">
        <v>0.5</v>
      </c>
      <c r="H99" s="354">
        <v>0.5</v>
      </c>
      <c r="I99" s="355"/>
      <c r="J99" s="76">
        <f>H99*G99*F99</f>
        <v>37.75</v>
      </c>
    </row>
    <row r="100" spans="1:10" ht="15" thickBot="1" x14ac:dyDescent="0.35">
      <c r="A100" s="364" t="s">
        <v>64</v>
      </c>
      <c r="B100" s="365"/>
      <c r="C100" s="365"/>
      <c r="D100" s="365"/>
      <c r="E100" s="365"/>
      <c r="F100" s="365"/>
      <c r="G100" s="365"/>
      <c r="H100" s="365"/>
      <c r="I100" s="366"/>
      <c r="J100" s="266">
        <f>SUM(J97:J99)</f>
        <v>59.17</v>
      </c>
    </row>
    <row r="101" spans="1:10" x14ac:dyDescent="0.3">
      <c r="A101" s="247" t="str">
        <f>ORÇAMENTO!A40</f>
        <v>4.4</v>
      </c>
      <c r="B101" s="73" t="str">
        <f>ORÇAMENTO!B40</f>
        <v>GOINFRA</v>
      </c>
      <c r="C101" s="74">
        <f>ORÇAMENTO!C40</f>
        <v>51009</v>
      </c>
      <c r="D101" s="75" t="str">
        <f>ORÇAMENTO!D40</f>
        <v xml:space="preserve">FORMA TABUA PINHO P/FUNDACOES U=3V - (OBRAS CIVIS) </v>
      </c>
      <c r="E101" s="74" t="str">
        <f>ORÇAMENTO!F40</f>
        <v xml:space="preserve">m2 </v>
      </c>
      <c r="F101" s="88" t="s">
        <v>89</v>
      </c>
      <c r="G101" s="88" t="s">
        <v>118</v>
      </c>
      <c r="H101" s="371" t="s">
        <v>101</v>
      </c>
      <c r="I101" s="373"/>
      <c r="J101" s="79" t="s">
        <v>86</v>
      </c>
    </row>
    <row r="102" spans="1:10" ht="113.25" customHeight="1" x14ac:dyDescent="0.3">
      <c r="A102" s="248"/>
      <c r="B102" s="83"/>
      <c r="C102" s="84"/>
      <c r="D102" s="85" t="s">
        <v>526</v>
      </c>
      <c r="E102" s="84"/>
      <c r="F102" s="230">
        <v>2</v>
      </c>
      <c r="G102" s="230">
        <v>0.4</v>
      </c>
      <c r="H102" s="358" t="s">
        <v>116</v>
      </c>
      <c r="I102" s="359"/>
      <c r="J102" s="80">
        <f>(346.06+77.06+29.2+32.95+32.8+44.57+3.65+(5*4.28)+4.11+(8*3.8)+(17*3.8)+4.35+10.15+7.4+7.4+7.3+5.52+3.8+3.8+3.65+3.8+2.15+3.65+3.8+6.59+(4*3.8)+5.7+3.8+(3*2.66)+(3*2.05)+88.99+12.39+3.22+8+5)*F102*G102</f>
        <v>733.27199999999982</v>
      </c>
    </row>
    <row r="103" spans="1:10" ht="15" thickBot="1" x14ac:dyDescent="0.35">
      <c r="A103" s="364" t="s">
        <v>64</v>
      </c>
      <c r="B103" s="365"/>
      <c r="C103" s="365"/>
      <c r="D103" s="365"/>
      <c r="E103" s="365"/>
      <c r="F103" s="365"/>
      <c r="G103" s="365"/>
      <c r="H103" s="365"/>
      <c r="I103" s="366"/>
      <c r="J103" s="266">
        <f>J102</f>
        <v>733.27199999999982</v>
      </c>
    </row>
    <row r="104" spans="1:10" x14ac:dyDescent="0.3">
      <c r="A104" s="247" t="str">
        <f>ORÇAMENTO!A41</f>
        <v>4.5</v>
      </c>
      <c r="B104" s="73" t="str">
        <f>ORÇAMENTO!B41</f>
        <v>GOINFRA</v>
      </c>
      <c r="C104" s="74">
        <f>ORÇAMENTO!C41</f>
        <v>51017</v>
      </c>
      <c r="D104" s="75" t="str">
        <f>ORÇAMENTO!D41</f>
        <v xml:space="preserve">PREPARO COM BETONEIRA E TRANSPORTE MANUAL DE CONCRETO FCK-20 - (O.C.) </v>
      </c>
      <c r="E104" s="74" t="str">
        <f>ORÇAMENTO!F41</f>
        <v>m3</v>
      </c>
      <c r="F104" s="88" t="s">
        <v>89</v>
      </c>
      <c r="G104" s="88" t="s">
        <v>117</v>
      </c>
      <c r="H104" s="82" t="s">
        <v>101</v>
      </c>
      <c r="I104" s="82" t="s">
        <v>118</v>
      </c>
      <c r="J104" s="79" t="s">
        <v>86</v>
      </c>
    </row>
    <row r="105" spans="1:10" x14ac:dyDescent="0.3">
      <c r="A105" s="247"/>
      <c r="B105" s="73"/>
      <c r="C105" s="74"/>
      <c r="D105" s="75" t="s">
        <v>523</v>
      </c>
      <c r="E105" s="74"/>
      <c r="F105" s="88">
        <v>2</v>
      </c>
      <c r="G105" s="88">
        <v>1.4</v>
      </c>
      <c r="H105" s="82">
        <v>0.5</v>
      </c>
      <c r="I105" s="82">
        <v>0.5</v>
      </c>
      <c r="J105" s="76">
        <f>I105*H105*G105*F105</f>
        <v>0.7</v>
      </c>
    </row>
    <row r="106" spans="1:10" x14ac:dyDescent="0.3">
      <c r="A106" s="248"/>
      <c r="B106" s="83"/>
      <c r="C106" s="84"/>
      <c r="D106" s="86" t="s">
        <v>524</v>
      </c>
      <c r="E106" s="74"/>
      <c r="F106" s="88">
        <v>26</v>
      </c>
      <c r="G106" s="88">
        <v>1.4</v>
      </c>
      <c r="H106" s="82">
        <v>0.5</v>
      </c>
      <c r="I106" s="82">
        <v>0.55000000000000004</v>
      </c>
      <c r="J106" s="76">
        <f>I106*H106*G106*F106</f>
        <v>10.01</v>
      </c>
    </row>
    <row r="107" spans="1:10" x14ac:dyDescent="0.3">
      <c r="A107" s="248"/>
      <c r="B107" s="83"/>
      <c r="C107" s="84"/>
      <c r="D107" s="86" t="s">
        <v>525</v>
      </c>
      <c r="E107" s="74"/>
      <c r="F107" s="88">
        <v>151</v>
      </c>
      <c r="G107" s="88">
        <v>0.5</v>
      </c>
      <c r="H107" s="82">
        <v>0.5</v>
      </c>
      <c r="I107" s="82">
        <v>0.5</v>
      </c>
      <c r="J107" s="76">
        <f>I107*H107*G107*F107</f>
        <v>18.875</v>
      </c>
    </row>
    <row r="108" spans="1:10" ht="181.5" customHeight="1" x14ac:dyDescent="0.3">
      <c r="A108" s="248"/>
      <c r="B108" s="83"/>
      <c r="C108" s="84"/>
      <c r="D108" s="86" t="s">
        <v>526</v>
      </c>
      <c r="E108" s="74"/>
      <c r="F108" s="88"/>
      <c r="G108" s="88">
        <v>0.14000000000000001</v>
      </c>
      <c r="H108" s="88" t="s">
        <v>116</v>
      </c>
      <c r="I108" s="82">
        <v>0.4</v>
      </c>
      <c r="J108" s="76">
        <f>(346.06+77.06+29.2+32.95+32.8+44.57+3.65+(5*4.28)+4.11+(8*3.8)+(17*3.8)+4.35+10.15+7.4+7.4+7.3+5.52+3.8+3.8+3.65+3.8+2.15+3.65+3.8+6.59+(4*3.8)+5.7+3.8+(3*2.66)+(3*2.05)+88.99+12.39+3.22+8+5)*G108*I108</f>
        <v>51.329039999999992</v>
      </c>
    </row>
    <row r="109" spans="1:10" x14ac:dyDescent="0.3">
      <c r="A109" s="459" t="s">
        <v>64</v>
      </c>
      <c r="B109" s="460"/>
      <c r="C109" s="460"/>
      <c r="D109" s="460"/>
      <c r="E109" s="460"/>
      <c r="F109" s="460"/>
      <c r="G109" s="460"/>
      <c r="H109" s="460"/>
      <c r="I109" s="461"/>
      <c r="J109" s="274">
        <f>SUM(J105:J108)</f>
        <v>80.91404</v>
      </c>
    </row>
    <row r="110" spans="1:10" x14ac:dyDescent="0.3">
      <c r="A110" s="247" t="str">
        <f>ORÇAMENTO!A42</f>
        <v>4.6</v>
      </c>
      <c r="B110" s="73" t="str">
        <f>ORÇAMENTO!B42</f>
        <v>GOINFRA</v>
      </c>
      <c r="C110" s="74">
        <f>ORÇAMENTO!C42</f>
        <v>51026</v>
      </c>
      <c r="D110" s="75" t="str">
        <f>ORÇAMENTO!D42</f>
        <v xml:space="preserve">LANÇAMENTO/APLICAÇÃO/ADENSAMENTO DE CONCRETO EM FUNDAÇÃO- (O.C.) </v>
      </c>
      <c r="E110" s="74" t="str">
        <f>ORÇAMENTO!F42</f>
        <v xml:space="preserve">m3 </v>
      </c>
      <c r="F110" s="88" t="s">
        <v>89</v>
      </c>
      <c r="G110" s="88" t="s">
        <v>117</v>
      </c>
      <c r="H110" s="82" t="s">
        <v>101</v>
      </c>
      <c r="I110" s="82" t="s">
        <v>118</v>
      </c>
      <c r="J110" s="79" t="s">
        <v>86</v>
      </c>
    </row>
    <row r="111" spans="1:10" x14ac:dyDescent="0.3">
      <c r="A111" s="247"/>
      <c r="B111" s="73"/>
      <c r="C111" s="74"/>
      <c r="D111" s="75" t="s">
        <v>523</v>
      </c>
      <c r="E111" s="74"/>
      <c r="F111" s="88">
        <v>2</v>
      </c>
      <c r="G111" s="88">
        <v>1.4</v>
      </c>
      <c r="H111" s="82">
        <v>0.5</v>
      </c>
      <c r="I111" s="82">
        <v>0.5</v>
      </c>
      <c r="J111" s="76">
        <f>I111*H111*G111*F111</f>
        <v>0.7</v>
      </c>
    </row>
    <row r="112" spans="1:10" x14ac:dyDescent="0.3">
      <c r="A112" s="248"/>
      <c r="B112" s="83"/>
      <c r="C112" s="84"/>
      <c r="D112" s="75" t="s">
        <v>524</v>
      </c>
      <c r="E112" s="84"/>
      <c r="F112" s="88">
        <v>26</v>
      </c>
      <c r="G112" s="88">
        <v>1.4</v>
      </c>
      <c r="H112" s="82">
        <v>0.5</v>
      </c>
      <c r="I112" s="82">
        <v>0.55000000000000004</v>
      </c>
      <c r="J112" s="76">
        <f>I112*H112*G112*F112</f>
        <v>10.01</v>
      </c>
    </row>
    <row r="113" spans="1:10" x14ac:dyDescent="0.3">
      <c r="A113" s="248"/>
      <c r="B113" s="83"/>
      <c r="C113" s="84"/>
      <c r="D113" s="75" t="s">
        <v>525</v>
      </c>
      <c r="E113" s="84"/>
      <c r="F113" s="88">
        <v>151</v>
      </c>
      <c r="G113" s="88">
        <v>0.5</v>
      </c>
      <c r="H113" s="82">
        <v>0.5</v>
      </c>
      <c r="I113" s="82">
        <v>0.5</v>
      </c>
      <c r="J113" s="76">
        <f>I113*H113*G113*F113</f>
        <v>18.875</v>
      </c>
    </row>
    <row r="114" spans="1:10" ht="158.4" x14ac:dyDescent="0.3">
      <c r="A114" s="248"/>
      <c r="B114" s="83"/>
      <c r="C114" s="84"/>
      <c r="D114" s="86" t="s">
        <v>526</v>
      </c>
      <c r="E114" s="74"/>
      <c r="F114" s="88"/>
      <c r="G114" s="88">
        <v>0.14000000000000001</v>
      </c>
      <c r="H114" s="88" t="s">
        <v>116</v>
      </c>
      <c r="I114" s="82">
        <v>0.4</v>
      </c>
      <c r="J114" s="76">
        <f>(346.06+77.06+29.2+32.95+32.8+44.57+3.65+(5*4.28)+4.11+(8*3.8)+(17*3.8)+4.35+10.15+7.4+7.4+7.3+5.52+3.8+3.8+3.65+3.8+2.15+3.65+3.8+6.59+(4*3.8)+5.7+3.8+(3*2.66)+(3*2.05)+88.99+12.39+3.22+8+5)*G114*I114</f>
        <v>51.329039999999992</v>
      </c>
    </row>
    <row r="115" spans="1:10" ht="15" thickBot="1" x14ac:dyDescent="0.35">
      <c r="A115" s="364" t="s">
        <v>64</v>
      </c>
      <c r="B115" s="365"/>
      <c r="C115" s="365"/>
      <c r="D115" s="365"/>
      <c r="E115" s="365"/>
      <c r="F115" s="365"/>
      <c r="G115" s="365"/>
      <c r="H115" s="365"/>
      <c r="I115" s="366"/>
      <c r="J115" s="274">
        <f>SUM(J111:J114)</f>
        <v>80.91404</v>
      </c>
    </row>
    <row r="116" spans="1:10" x14ac:dyDescent="0.3">
      <c r="A116" s="247" t="str">
        <f>ORÇAMENTO!A43</f>
        <v>4.7</v>
      </c>
      <c r="B116" s="73" t="str">
        <f>ORÇAMENTO!B43</f>
        <v>GOINFRA</v>
      </c>
      <c r="C116" s="74">
        <f>ORÇAMENTO!C43</f>
        <v>52003</v>
      </c>
      <c r="D116" s="75" t="str">
        <f>ORÇAMENTO!D43</f>
        <v xml:space="preserve">ACO CA-50A - 6,3 MM (1/4") - (OBRAS CIVIS) </v>
      </c>
      <c r="E116" s="74" t="str">
        <f>ORÇAMENTO!F43</f>
        <v xml:space="preserve">Kg </v>
      </c>
      <c r="F116" s="371" t="s">
        <v>530</v>
      </c>
      <c r="G116" s="372"/>
      <c r="H116" s="372"/>
      <c r="I116" s="373"/>
      <c r="J116" s="79" t="s">
        <v>86</v>
      </c>
    </row>
    <row r="117" spans="1:10" x14ac:dyDescent="0.3">
      <c r="A117" s="247"/>
      <c r="B117" s="73"/>
      <c r="C117" s="74"/>
      <c r="D117" s="75" t="s">
        <v>526</v>
      </c>
      <c r="E117" s="74"/>
      <c r="F117" s="354">
        <v>979.92</v>
      </c>
      <c r="G117" s="369"/>
      <c r="H117" s="369"/>
      <c r="I117" s="355"/>
      <c r="J117" s="76">
        <f>F117</f>
        <v>979.92</v>
      </c>
    </row>
    <row r="118" spans="1:10" x14ac:dyDescent="0.3">
      <c r="A118" s="251"/>
      <c r="B118" s="90"/>
      <c r="C118" s="91"/>
      <c r="D118" s="86" t="s">
        <v>140</v>
      </c>
      <c r="E118" s="91"/>
      <c r="F118" s="354">
        <v>398.05</v>
      </c>
      <c r="G118" s="369"/>
      <c r="H118" s="369"/>
      <c r="I118" s="355"/>
      <c r="J118" s="76">
        <f>F118</f>
        <v>398.05</v>
      </c>
    </row>
    <row r="119" spans="1:10" ht="15" thickBot="1" x14ac:dyDescent="0.35">
      <c r="A119" s="364" t="s">
        <v>64</v>
      </c>
      <c r="B119" s="365"/>
      <c r="C119" s="365"/>
      <c r="D119" s="365"/>
      <c r="E119" s="365"/>
      <c r="F119" s="365"/>
      <c r="G119" s="365"/>
      <c r="H119" s="365"/>
      <c r="I119" s="366"/>
      <c r="J119" s="275">
        <f>SUM(J117:J118)</f>
        <v>1377.97</v>
      </c>
    </row>
    <row r="120" spans="1:10" x14ac:dyDescent="0.3">
      <c r="A120" s="247" t="str">
        <f>ORÇAMENTO!A44</f>
        <v>4.8</v>
      </c>
      <c r="B120" s="73" t="str">
        <f>ORÇAMENTO!B44</f>
        <v>GOINFRA</v>
      </c>
      <c r="C120" s="74">
        <f>ORÇAMENTO!C44</f>
        <v>52004</v>
      </c>
      <c r="D120" s="75" t="str">
        <f>ORÇAMENTO!D44</f>
        <v xml:space="preserve">ACO CA 50-A - 8,0 MM (5/16") - (OBRAS CIVIS) </v>
      </c>
      <c r="E120" s="74" t="str">
        <f>ORÇAMENTO!F44</f>
        <v xml:space="preserve">Kg </v>
      </c>
      <c r="F120" s="371" t="s">
        <v>530</v>
      </c>
      <c r="G120" s="372"/>
      <c r="H120" s="372"/>
      <c r="I120" s="373"/>
      <c r="J120" s="79" t="s">
        <v>86</v>
      </c>
    </row>
    <row r="121" spans="1:10" x14ac:dyDescent="0.3">
      <c r="A121" s="247"/>
      <c r="B121" s="73"/>
      <c r="C121" s="74"/>
      <c r="D121" s="75" t="s">
        <v>526</v>
      </c>
      <c r="E121" s="74"/>
      <c r="F121" s="354">
        <v>1448.21</v>
      </c>
      <c r="G121" s="369"/>
      <c r="H121" s="369"/>
      <c r="I121" s="355"/>
      <c r="J121" s="76">
        <f>F121</f>
        <v>1448.21</v>
      </c>
    </row>
    <row r="122" spans="1:10" x14ac:dyDescent="0.3">
      <c r="A122" s="247"/>
      <c r="B122" s="73"/>
      <c r="C122" s="74"/>
      <c r="D122" s="75" t="s">
        <v>527</v>
      </c>
      <c r="E122" s="74"/>
      <c r="F122" s="354">
        <v>1223.71</v>
      </c>
      <c r="G122" s="369"/>
      <c r="H122" s="369"/>
      <c r="I122" s="355"/>
      <c r="J122" s="76">
        <f>F122</f>
        <v>1223.71</v>
      </c>
    </row>
    <row r="123" spans="1:10" ht="15" thickBot="1" x14ac:dyDescent="0.35">
      <c r="A123" s="364" t="s">
        <v>64</v>
      </c>
      <c r="B123" s="365"/>
      <c r="C123" s="365"/>
      <c r="D123" s="365"/>
      <c r="E123" s="365"/>
      <c r="F123" s="365"/>
      <c r="G123" s="365"/>
      <c r="H123" s="365"/>
      <c r="I123" s="366"/>
      <c r="J123" s="275">
        <f>SUM(J121:J122)</f>
        <v>2671.92</v>
      </c>
    </row>
    <row r="124" spans="1:10" x14ac:dyDescent="0.3">
      <c r="A124" s="247" t="str">
        <f>ORÇAMENTO!A45</f>
        <v>4.9</v>
      </c>
      <c r="B124" s="73" t="str">
        <f>ORÇAMENTO!B45</f>
        <v>GOINFRA</v>
      </c>
      <c r="C124" s="74">
        <f>ORÇAMENTO!C45</f>
        <v>52005</v>
      </c>
      <c r="D124" s="75" t="str">
        <f>ORÇAMENTO!D45</f>
        <v>ACO CA-50A - 10,0 MM (3/8") - (OBRAS CIVIS)</v>
      </c>
      <c r="E124" s="74" t="str">
        <f>ORÇAMENTO!F45</f>
        <v xml:space="preserve"> Kg </v>
      </c>
      <c r="F124" s="371" t="s">
        <v>530</v>
      </c>
      <c r="G124" s="372"/>
      <c r="H124" s="372"/>
      <c r="I124" s="373"/>
      <c r="J124" s="79" t="s">
        <v>86</v>
      </c>
    </row>
    <row r="125" spans="1:10" x14ac:dyDescent="0.3">
      <c r="A125" s="251"/>
      <c r="B125" s="90"/>
      <c r="C125" s="91"/>
      <c r="D125" s="86" t="s">
        <v>140</v>
      </c>
      <c r="E125" s="91"/>
      <c r="F125" s="354">
        <v>1406.02</v>
      </c>
      <c r="G125" s="369"/>
      <c r="H125" s="369"/>
      <c r="I125" s="355"/>
      <c r="J125" s="76">
        <f>F125</f>
        <v>1406.02</v>
      </c>
    </row>
    <row r="126" spans="1:10" x14ac:dyDescent="0.3">
      <c r="A126" s="247"/>
      <c r="B126" s="73"/>
      <c r="C126" s="74"/>
      <c r="D126" s="75" t="s">
        <v>527</v>
      </c>
      <c r="E126" s="74"/>
      <c r="F126" s="354">
        <v>141.16999999999999</v>
      </c>
      <c r="G126" s="369"/>
      <c r="H126" s="369"/>
      <c r="I126" s="355"/>
      <c r="J126" s="76">
        <f>F126</f>
        <v>141.16999999999999</v>
      </c>
    </row>
    <row r="127" spans="1:10" ht="15" thickBot="1" x14ac:dyDescent="0.35">
      <c r="A127" s="364" t="s">
        <v>64</v>
      </c>
      <c r="B127" s="365"/>
      <c r="C127" s="365"/>
      <c r="D127" s="365"/>
      <c r="E127" s="365"/>
      <c r="F127" s="365"/>
      <c r="G127" s="365"/>
      <c r="H127" s="365"/>
      <c r="I127" s="366"/>
      <c r="J127" s="275">
        <f>SUM(J125:J126)</f>
        <v>1547.19</v>
      </c>
    </row>
    <row r="128" spans="1:10" ht="15" thickBot="1" x14ac:dyDescent="0.35">
      <c r="A128" s="415" t="s">
        <v>27</v>
      </c>
      <c r="B128" s="416"/>
      <c r="C128" s="416"/>
      <c r="D128" s="416"/>
      <c r="E128" s="416"/>
      <c r="F128" s="416"/>
      <c r="G128" s="416"/>
      <c r="H128" s="416"/>
      <c r="I128" s="416"/>
      <c r="J128" s="417"/>
    </row>
    <row r="129" spans="1:10" x14ac:dyDescent="0.3">
      <c r="A129" s="249">
        <v>5</v>
      </c>
      <c r="B129" s="87" t="s">
        <v>25</v>
      </c>
      <c r="C129" s="81">
        <v>60000</v>
      </c>
      <c r="D129" s="400" t="s">
        <v>28</v>
      </c>
      <c r="E129" s="401"/>
      <c r="F129" s="401"/>
      <c r="G129" s="401"/>
      <c r="H129" s="401"/>
      <c r="I129" s="401"/>
      <c r="J129" s="402"/>
    </row>
    <row r="130" spans="1:10" x14ac:dyDescent="0.3">
      <c r="A130" s="247" t="str">
        <f>ORÇAMENTO!A49</f>
        <v>5.1</v>
      </c>
      <c r="B130" s="73" t="str">
        <f>ORÇAMENTO!B49</f>
        <v>GOINFRA</v>
      </c>
      <c r="C130" s="74">
        <f>ORÇAMENTO!C49</f>
        <v>60010</v>
      </c>
      <c r="D130" s="75" t="str">
        <f>ORÇAMENTO!D49</f>
        <v>VERGA/CONTRAVERGA EM CONCRETO ARMADO FCK = 20 MPA</v>
      </c>
      <c r="E130" s="74" t="str">
        <f>ORÇAMENTO!F49</f>
        <v xml:space="preserve"> m3 </v>
      </c>
      <c r="F130" s="88" t="s">
        <v>89</v>
      </c>
      <c r="G130" s="88" t="s">
        <v>117</v>
      </c>
      <c r="H130" s="213" t="s">
        <v>101</v>
      </c>
      <c r="I130" s="213" t="s">
        <v>118</v>
      </c>
      <c r="J130" s="79" t="s">
        <v>86</v>
      </c>
    </row>
    <row r="131" spans="1:10" x14ac:dyDescent="0.3">
      <c r="A131" s="247"/>
      <c r="B131" s="73"/>
      <c r="C131" s="74"/>
      <c r="D131" s="75" t="s">
        <v>568</v>
      </c>
      <c r="E131" s="74"/>
      <c r="F131" s="88" t="s">
        <v>580</v>
      </c>
      <c r="G131" s="88">
        <v>0.12</v>
      </c>
      <c r="H131" s="213" t="s">
        <v>576</v>
      </c>
      <c r="I131" s="213">
        <v>0.2</v>
      </c>
      <c r="J131" s="79">
        <f>I131*(0.2+0.8+0.2)*65*G131</f>
        <v>1.8719999999999999</v>
      </c>
    </row>
    <row r="132" spans="1:10" x14ac:dyDescent="0.3">
      <c r="A132" s="247"/>
      <c r="B132" s="73"/>
      <c r="C132" s="74"/>
      <c r="D132" s="75" t="s">
        <v>569</v>
      </c>
      <c r="E132" s="74"/>
      <c r="F132" s="88" t="s">
        <v>579</v>
      </c>
      <c r="G132" s="88">
        <v>0.12</v>
      </c>
      <c r="H132" s="213" t="s">
        <v>578</v>
      </c>
      <c r="I132" s="213">
        <v>0.2</v>
      </c>
      <c r="J132" s="79">
        <f>I132*(0.2+1+0.2)*4*G132</f>
        <v>0.13439999999999999</v>
      </c>
    </row>
    <row r="133" spans="1:10" x14ac:dyDescent="0.3">
      <c r="A133" s="247"/>
      <c r="B133" s="73"/>
      <c r="C133" s="74"/>
      <c r="D133" s="75" t="s">
        <v>581</v>
      </c>
      <c r="E133" s="74"/>
      <c r="F133" s="88" t="s">
        <v>582</v>
      </c>
      <c r="G133" s="88">
        <v>0.12</v>
      </c>
      <c r="H133" s="213" t="s">
        <v>583</v>
      </c>
      <c r="I133" s="213">
        <v>0.2</v>
      </c>
      <c r="J133" s="79">
        <f>I133*(0.2+3+0.2)*1*G133</f>
        <v>8.160000000000002E-2</v>
      </c>
    </row>
    <row r="134" spans="1:10" x14ac:dyDescent="0.3">
      <c r="A134" s="247"/>
      <c r="B134" s="73"/>
      <c r="C134" s="74"/>
      <c r="D134" s="75" t="s">
        <v>584</v>
      </c>
      <c r="E134" s="74"/>
      <c r="F134" s="88" t="s">
        <v>577</v>
      </c>
      <c r="G134" s="88">
        <v>0.12</v>
      </c>
      <c r="H134" s="213" t="s">
        <v>585</v>
      </c>
      <c r="I134" s="213">
        <v>0.2</v>
      </c>
      <c r="J134" s="79">
        <f>I134*(0.2+2.5+0.2)*2*G134</f>
        <v>0.13920000000000002</v>
      </c>
    </row>
    <row r="135" spans="1:10" x14ac:dyDescent="0.3">
      <c r="A135" s="247"/>
      <c r="B135" s="73"/>
      <c r="C135" s="74"/>
      <c r="D135" s="75" t="s">
        <v>586</v>
      </c>
      <c r="E135" s="74"/>
      <c r="F135" s="88" t="s">
        <v>577</v>
      </c>
      <c r="G135" s="88">
        <v>0.12</v>
      </c>
      <c r="H135" s="213" t="s">
        <v>587</v>
      </c>
      <c r="I135" s="213">
        <v>0.2</v>
      </c>
      <c r="J135" s="79">
        <f>I135*(0.2+3.5+0.2)*2*G135</f>
        <v>0.18720000000000003</v>
      </c>
    </row>
    <row r="136" spans="1:10" x14ac:dyDescent="0.3">
      <c r="A136" s="247"/>
      <c r="B136" s="73"/>
      <c r="C136" s="74"/>
      <c r="D136" s="75" t="s">
        <v>570</v>
      </c>
      <c r="E136" s="74"/>
      <c r="F136" s="88" t="s">
        <v>588</v>
      </c>
      <c r="G136" s="88">
        <v>0.12</v>
      </c>
      <c r="H136" s="213" t="s">
        <v>1523</v>
      </c>
      <c r="I136" s="213">
        <v>0.2</v>
      </c>
      <c r="J136" s="79">
        <f>2*16*(0.2+0.2+0.5)*I136*G136</f>
        <v>0.69120000000000004</v>
      </c>
    </row>
    <row r="137" spans="1:10" x14ac:dyDescent="0.3">
      <c r="A137" s="247"/>
      <c r="B137" s="73"/>
      <c r="C137" s="74"/>
      <c r="D137" s="75" t="s">
        <v>571</v>
      </c>
      <c r="E137" s="74"/>
      <c r="F137" s="88" t="s">
        <v>593</v>
      </c>
      <c r="G137" s="88">
        <v>0.12</v>
      </c>
      <c r="H137" s="213" t="s">
        <v>590</v>
      </c>
      <c r="I137" s="213">
        <v>0.2</v>
      </c>
      <c r="J137" s="79">
        <f>2*23*(0.2+1.6+0.2)*I137*G137</f>
        <v>2.2080000000000002</v>
      </c>
    </row>
    <row r="138" spans="1:10" x14ac:dyDescent="0.3">
      <c r="A138" s="247"/>
      <c r="B138" s="73"/>
      <c r="C138" s="74"/>
      <c r="D138" s="75" t="s">
        <v>572</v>
      </c>
      <c r="E138" s="74"/>
      <c r="F138" s="88" t="s">
        <v>589</v>
      </c>
      <c r="G138" s="88">
        <v>0.12</v>
      </c>
      <c r="H138" s="213" t="s">
        <v>590</v>
      </c>
      <c r="I138" s="213">
        <v>0.2</v>
      </c>
      <c r="J138" s="79">
        <f>2*15*(0.2+1.6+0.2)*I138*G138</f>
        <v>1.44</v>
      </c>
    </row>
    <row r="139" spans="1:10" x14ac:dyDescent="0.3">
      <c r="A139" s="247"/>
      <c r="B139" s="73"/>
      <c r="C139" s="74"/>
      <c r="D139" s="75" t="s">
        <v>573</v>
      </c>
      <c r="E139" s="74"/>
      <c r="F139" s="88" t="s">
        <v>510</v>
      </c>
      <c r="G139" s="88">
        <v>0.12</v>
      </c>
      <c r="H139" s="213" t="s">
        <v>591</v>
      </c>
      <c r="I139" s="213">
        <v>0.2</v>
      </c>
      <c r="J139" s="79">
        <f>2*1*(0.2+1.7+0.2)*I139*G139</f>
        <v>0.1008</v>
      </c>
    </row>
    <row r="140" spans="1:10" x14ac:dyDescent="0.3">
      <c r="A140" s="247"/>
      <c r="B140" s="73"/>
      <c r="C140" s="74"/>
      <c r="D140" s="75" t="s">
        <v>574</v>
      </c>
      <c r="E140" s="74"/>
      <c r="F140" s="88" t="s">
        <v>594</v>
      </c>
      <c r="G140" s="88">
        <v>0.12</v>
      </c>
      <c r="H140" s="213" t="s">
        <v>592</v>
      </c>
      <c r="I140" s="213">
        <v>0.2</v>
      </c>
      <c r="J140" s="79">
        <f>2*24*(0.2+1.8+0.2)*I140*G140</f>
        <v>2.5344000000000007</v>
      </c>
    </row>
    <row r="141" spans="1:10" x14ac:dyDescent="0.3">
      <c r="A141" s="247"/>
      <c r="B141" s="73"/>
      <c r="C141" s="74"/>
      <c r="D141" s="75" t="s">
        <v>575</v>
      </c>
      <c r="E141" s="74"/>
      <c r="F141" s="88" t="s">
        <v>595</v>
      </c>
      <c r="G141" s="88">
        <v>0.12</v>
      </c>
      <c r="H141" s="213" t="s">
        <v>583</v>
      </c>
      <c r="I141" s="213">
        <v>0.2</v>
      </c>
      <c r="J141" s="79">
        <f>2*10*(0.2+3+0.2)*I141*G141</f>
        <v>1.6320000000000001</v>
      </c>
    </row>
    <row r="142" spans="1:10" ht="15" thickBot="1" x14ac:dyDescent="0.35">
      <c r="A142" s="364" t="s">
        <v>64</v>
      </c>
      <c r="B142" s="365"/>
      <c r="C142" s="365"/>
      <c r="D142" s="365"/>
      <c r="E142" s="365"/>
      <c r="F142" s="365"/>
      <c r="G142" s="365"/>
      <c r="H142" s="365"/>
      <c r="I142" s="366"/>
      <c r="J142" s="275">
        <f>SUM(J131:J141)</f>
        <v>11.020799999999999</v>
      </c>
    </row>
    <row r="143" spans="1:10" x14ac:dyDescent="0.3">
      <c r="A143" s="247" t="str">
        <f>ORÇAMENTO!A50</f>
        <v>5.2</v>
      </c>
      <c r="B143" s="73" t="str">
        <f>ORÇAMENTO!B50</f>
        <v>GOINFRA</v>
      </c>
      <c r="C143" s="74">
        <f>ORÇAMENTO!C50</f>
        <v>60203</v>
      </c>
      <c r="D143" s="75" t="str">
        <f>ORÇAMENTO!D50</f>
        <v xml:space="preserve">FORMA- CH.COMPENSADA 12 MM UTILIZAÇÃO 3 VEZES - (OBRAS CIVIS) </v>
      </c>
      <c r="E143" s="74" t="str">
        <f>ORÇAMENTO!F50</f>
        <v>m2</v>
      </c>
      <c r="F143" s="88" t="s">
        <v>89</v>
      </c>
      <c r="G143" s="371" t="s">
        <v>115</v>
      </c>
      <c r="H143" s="373"/>
      <c r="I143" s="82" t="s">
        <v>555</v>
      </c>
      <c r="J143" s="79" t="s">
        <v>86</v>
      </c>
    </row>
    <row r="144" spans="1:10" x14ac:dyDescent="0.3">
      <c r="A144" s="247"/>
      <c r="B144" s="73"/>
      <c r="C144" s="74"/>
      <c r="D144" s="75" t="s">
        <v>553</v>
      </c>
      <c r="E144" s="74"/>
      <c r="F144" s="88">
        <v>2</v>
      </c>
      <c r="G144" s="354">
        <v>773.44</v>
      </c>
      <c r="H144" s="355"/>
      <c r="I144" s="82">
        <v>0.4</v>
      </c>
      <c r="J144" s="79">
        <f>I144*G144*F144</f>
        <v>618.75200000000007</v>
      </c>
    </row>
    <row r="145" spans="1:10" x14ac:dyDescent="0.3">
      <c r="A145" s="247"/>
      <c r="B145" s="73"/>
      <c r="C145" s="74"/>
      <c r="D145" s="75" t="s">
        <v>554</v>
      </c>
      <c r="E145" s="74"/>
      <c r="F145" s="88">
        <v>2</v>
      </c>
      <c r="G145" s="354">
        <v>399.52</v>
      </c>
      <c r="H145" s="355"/>
      <c r="I145" s="82">
        <v>0.2</v>
      </c>
      <c r="J145" s="79">
        <f>I145*G145*F145</f>
        <v>159.80799999999999</v>
      </c>
    </row>
    <row r="146" spans="1:10" x14ac:dyDescent="0.3">
      <c r="A146" s="247"/>
      <c r="B146" s="73"/>
      <c r="C146" s="74"/>
      <c r="D146" s="75" t="s">
        <v>553</v>
      </c>
      <c r="E146" s="74"/>
      <c r="F146" s="88">
        <v>1</v>
      </c>
      <c r="G146" s="354">
        <v>773.44</v>
      </c>
      <c r="H146" s="355"/>
      <c r="I146" s="82">
        <v>0.14000000000000001</v>
      </c>
      <c r="J146" s="79">
        <f>I146*G146*F146</f>
        <v>108.28160000000001</v>
      </c>
    </row>
    <row r="147" spans="1:10" x14ac:dyDescent="0.3">
      <c r="A147" s="247"/>
      <c r="B147" s="73"/>
      <c r="C147" s="74"/>
      <c r="D147" s="75" t="s">
        <v>554</v>
      </c>
      <c r="E147" s="74"/>
      <c r="F147" s="88">
        <v>1</v>
      </c>
      <c r="G147" s="354">
        <v>339.2</v>
      </c>
      <c r="H147" s="355"/>
      <c r="I147" s="82">
        <v>0.14000000000000001</v>
      </c>
      <c r="J147" s="79">
        <f>I147*G147*F147</f>
        <v>47.488</v>
      </c>
    </row>
    <row r="148" spans="1:10" x14ac:dyDescent="0.3">
      <c r="A148" s="247"/>
      <c r="B148" s="73"/>
      <c r="C148" s="74"/>
      <c r="D148" s="75" t="s">
        <v>556</v>
      </c>
      <c r="E148" s="74"/>
      <c r="F148" s="88" t="s">
        <v>608</v>
      </c>
      <c r="G148" s="354">
        <v>4.7</v>
      </c>
      <c r="H148" s="355"/>
      <c r="I148" s="82">
        <v>0.3</v>
      </c>
      <c r="J148" s="79">
        <f>I148*G148*2*20</f>
        <v>56.4</v>
      </c>
    </row>
    <row r="149" spans="1:10" x14ac:dyDescent="0.3">
      <c r="A149" s="247"/>
      <c r="B149" s="73"/>
      <c r="C149" s="74"/>
      <c r="D149" s="75" t="s">
        <v>556</v>
      </c>
      <c r="E149" s="74"/>
      <c r="F149" s="88" t="s">
        <v>608</v>
      </c>
      <c r="G149" s="354">
        <v>4.7</v>
      </c>
      <c r="H149" s="355"/>
      <c r="I149" s="82">
        <v>0.14000000000000001</v>
      </c>
      <c r="J149" s="79">
        <f>I149*G149*2*2</f>
        <v>2.6320000000000006</v>
      </c>
    </row>
    <row r="150" spans="1:10" x14ac:dyDescent="0.3">
      <c r="A150" s="247"/>
      <c r="B150" s="73"/>
      <c r="C150" s="74"/>
      <c r="D150" s="75" t="s">
        <v>556</v>
      </c>
      <c r="E150" s="74"/>
      <c r="F150" s="88" t="s">
        <v>609</v>
      </c>
      <c r="G150" s="354">
        <v>4.3</v>
      </c>
      <c r="H150" s="355"/>
      <c r="I150" s="82">
        <v>0.3</v>
      </c>
      <c r="J150" s="79">
        <f>I150*G150*2*78</f>
        <v>201.23999999999998</v>
      </c>
    </row>
    <row r="151" spans="1:10" x14ac:dyDescent="0.3">
      <c r="A151" s="247"/>
      <c r="B151" s="73"/>
      <c r="C151" s="74"/>
      <c r="D151" s="75" t="s">
        <v>556</v>
      </c>
      <c r="E151" s="74"/>
      <c r="F151" s="88" t="s">
        <v>609</v>
      </c>
      <c r="G151" s="354">
        <v>4.3</v>
      </c>
      <c r="H151" s="355"/>
      <c r="I151" s="82">
        <v>0.14000000000000001</v>
      </c>
      <c r="J151" s="79">
        <f>I151*G151*2*78</f>
        <v>93.911999999999992</v>
      </c>
    </row>
    <row r="152" spans="1:10" x14ac:dyDescent="0.3">
      <c r="A152" s="247"/>
      <c r="B152" s="73"/>
      <c r="C152" s="74"/>
      <c r="D152" s="75" t="s">
        <v>556</v>
      </c>
      <c r="E152" s="74"/>
      <c r="F152" s="88" t="s">
        <v>610</v>
      </c>
      <c r="G152" s="354">
        <v>3</v>
      </c>
      <c r="H152" s="355"/>
      <c r="I152" s="82">
        <v>0.3</v>
      </c>
      <c r="J152" s="76">
        <f>I152*G152*2*51</f>
        <v>91.8</v>
      </c>
    </row>
    <row r="153" spans="1:10" x14ac:dyDescent="0.3">
      <c r="A153" s="247"/>
      <c r="B153" s="73"/>
      <c r="C153" s="74"/>
      <c r="D153" s="75" t="s">
        <v>556</v>
      </c>
      <c r="E153" s="74"/>
      <c r="F153" s="88" t="s">
        <v>610</v>
      </c>
      <c r="G153" s="354">
        <v>3</v>
      </c>
      <c r="H153" s="355"/>
      <c r="I153" s="82">
        <v>0.14000000000000001</v>
      </c>
      <c r="J153" s="76">
        <f>I153*G153*2*51</f>
        <v>42.84</v>
      </c>
    </row>
    <row r="154" spans="1:10" x14ac:dyDescent="0.3">
      <c r="A154" s="247"/>
      <c r="B154" s="73"/>
      <c r="C154" s="74"/>
      <c r="D154" s="75" t="s">
        <v>557</v>
      </c>
      <c r="E154" s="74"/>
      <c r="F154" s="88" t="s">
        <v>498</v>
      </c>
      <c r="G154" s="354">
        <v>3</v>
      </c>
      <c r="H154" s="355"/>
      <c r="I154" s="82">
        <v>0.4</v>
      </c>
      <c r="J154" s="76">
        <f>I154*G154*2*2</f>
        <v>4.8000000000000007</v>
      </c>
    </row>
    <row r="155" spans="1:10" x14ac:dyDescent="0.3">
      <c r="A155" s="247"/>
      <c r="B155" s="73"/>
      <c r="C155" s="74"/>
      <c r="D155" s="75" t="s">
        <v>557</v>
      </c>
      <c r="E155" s="74"/>
      <c r="F155" s="88" t="s">
        <v>498</v>
      </c>
      <c r="G155" s="354">
        <v>3</v>
      </c>
      <c r="H155" s="355"/>
      <c r="I155" s="82">
        <v>0.14000000000000001</v>
      </c>
      <c r="J155" s="76">
        <f>I155*G155*2*2</f>
        <v>1.6800000000000002</v>
      </c>
    </row>
    <row r="156" spans="1:10" x14ac:dyDescent="0.3">
      <c r="A156" s="248"/>
      <c r="B156" s="83"/>
      <c r="C156" s="84"/>
      <c r="D156" s="75" t="s">
        <v>957</v>
      </c>
      <c r="E156" s="74"/>
      <c r="F156" s="88">
        <v>2</v>
      </c>
      <c r="G156" s="354">
        <v>25.2</v>
      </c>
      <c r="H156" s="355"/>
      <c r="I156" s="82">
        <v>1.25</v>
      </c>
      <c r="J156" s="76">
        <f>I156*G156*F156</f>
        <v>63</v>
      </c>
    </row>
    <row r="157" spans="1:10" x14ac:dyDescent="0.3">
      <c r="A157" s="248"/>
      <c r="B157" s="83"/>
      <c r="C157" s="84"/>
      <c r="D157" s="75" t="s">
        <v>957</v>
      </c>
      <c r="E157" s="74"/>
      <c r="F157" s="88">
        <v>2</v>
      </c>
      <c r="G157" s="354">
        <v>12.65</v>
      </c>
      <c r="H157" s="355"/>
      <c r="I157" s="82">
        <v>1.25</v>
      </c>
      <c r="J157" s="76">
        <f>I157*G157*F157</f>
        <v>31.625</v>
      </c>
    </row>
    <row r="158" spans="1:10" x14ac:dyDescent="0.3">
      <c r="A158" s="248"/>
      <c r="B158" s="83"/>
      <c r="C158" s="84"/>
      <c r="D158" s="75" t="s">
        <v>953</v>
      </c>
      <c r="E158" s="74"/>
      <c r="F158" s="88">
        <v>1</v>
      </c>
      <c r="G158" s="358" t="s">
        <v>958</v>
      </c>
      <c r="H158" s="359"/>
      <c r="I158" s="82">
        <v>0.05</v>
      </c>
      <c r="J158" s="76">
        <f>(12.65+12.65+25.2+25.2+8*1.2)*I158*F158</f>
        <v>4.2649999999999997</v>
      </c>
    </row>
    <row r="159" spans="1:10" ht="15" thickBot="1" x14ac:dyDescent="0.35">
      <c r="A159" s="364" t="s">
        <v>64</v>
      </c>
      <c r="B159" s="365"/>
      <c r="C159" s="365"/>
      <c r="D159" s="365"/>
      <c r="E159" s="365"/>
      <c r="F159" s="365"/>
      <c r="G159" s="365"/>
      <c r="H159" s="365"/>
      <c r="I159" s="366"/>
      <c r="J159" s="275">
        <f>SUM(J144:J158)</f>
        <v>1528.5236</v>
      </c>
    </row>
    <row r="160" spans="1:10" x14ac:dyDescent="0.3">
      <c r="A160" s="247" t="str">
        <f>ORÇAMENTO!A51</f>
        <v>5.3</v>
      </c>
      <c r="B160" s="73" t="str">
        <f>ORÇAMENTO!B51</f>
        <v>GOINFRA</v>
      </c>
      <c r="C160" s="74">
        <f>ORÇAMENTO!C51</f>
        <v>60303</v>
      </c>
      <c r="D160" s="75" t="str">
        <f>ORÇAMENTO!D51</f>
        <v xml:space="preserve">ACO CA-50-A - 6,3 MM (1/4") - (OBRAS CIVIS) </v>
      </c>
      <c r="E160" s="74" t="str">
        <f>ORÇAMENTO!F51</f>
        <v xml:space="preserve">Kg </v>
      </c>
      <c r="F160" s="371" t="s">
        <v>530</v>
      </c>
      <c r="G160" s="372"/>
      <c r="H160" s="372"/>
      <c r="I160" s="373"/>
      <c r="J160" s="79" t="s">
        <v>86</v>
      </c>
    </row>
    <row r="161" spans="1:10" x14ac:dyDescent="0.3">
      <c r="A161" s="247"/>
      <c r="B161" s="73"/>
      <c r="C161" s="74"/>
      <c r="D161" s="75" t="s">
        <v>553</v>
      </c>
      <c r="E161" s="74"/>
      <c r="F161" s="354">
        <v>1212.75</v>
      </c>
      <c r="G161" s="369"/>
      <c r="H161" s="369"/>
      <c r="I161" s="355"/>
      <c r="J161" s="79">
        <f>F161</f>
        <v>1212.75</v>
      </c>
    </row>
    <row r="162" spans="1:10" x14ac:dyDescent="0.3">
      <c r="A162" s="247"/>
      <c r="B162" s="73"/>
      <c r="C162" s="74"/>
      <c r="D162" s="75" t="s">
        <v>554</v>
      </c>
      <c r="E162" s="74"/>
      <c r="F162" s="354">
        <v>313.22000000000003</v>
      </c>
      <c r="G162" s="369"/>
      <c r="H162" s="369"/>
      <c r="I162" s="355"/>
      <c r="J162" s="79">
        <f>F162</f>
        <v>313.22000000000003</v>
      </c>
    </row>
    <row r="163" spans="1:10" ht="15" thickBot="1" x14ac:dyDescent="0.35">
      <c r="A163" s="364" t="s">
        <v>64</v>
      </c>
      <c r="B163" s="365"/>
      <c r="C163" s="365"/>
      <c r="D163" s="365"/>
      <c r="E163" s="365"/>
      <c r="F163" s="365"/>
      <c r="G163" s="365"/>
      <c r="H163" s="365"/>
      <c r="I163" s="366"/>
      <c r="J163" s="275">
        <f>SUM(J161:J162)</f>
        <v>1525.97</v>
      </c>
    </row>
    <row r="164" spans="1:10" x14ac:dyDescent="0.3">
      <c r="A164" s="247" t="str">
        <f>ORÇAMENTO!A52</f>
        <v>5.4</v>
      </c>
      <c r="B164" s="73" t="str">
        <f>ORÇAMENTO!B52</f>
        <v>GOINFRA</v>
      </c>
      <c r="C164" s="74">
        <f>ORÇAMENTO!C52</f>
        <v>60304</v>
      </c>
      <c r="D164" s="86" t="str">
        <f>ORÇAMENTO!D52</f>
        <v>ACO CA-50 A - 8,0 MM (5/16") - (OBRAS CIVIS)</v>
      </c>
      <c r="E164" s="74" t="str">
        <f>ORÇAMENTO!F52</f>
        <v xml:space="preserve"> Kg </v>
      </c>
      <c r="F164" s="371" t="s">
        <v>530</v>
      </c>
      <c r="G164" s="372"/>
      <c r="H164" s="372"/>
      <c r="I164" s="373"/>
      <c r="J164" s="79" t="s">
        <v>86</v>
      </c>
    </row>
    <row r="165" spans="1:10" x14ac:dyDescent="0.3">
      <c r="A165" s="247"/>
      <c r="B165" s="73"/>
      <c r="C165" s="74"/>
      <c r="D165" s="75" t="s">
        <v>607</v>
      </c>
      <c r="E165" s="74"/>
      <c r="F165" s="354">
        <v>631.24</v>
      </c>
      <c r="G165" s="369"/>
      <c r="H165" s="369"/>
      <c r="I165" s="355"/>
      <c r="J165" s="79">
        <f>F165</f>
        <v>631.24</v>
      </c>
    </row>
    <row r="166" spans="1:10" ht="15" thickBot="1" x14ac:dyDescent="0.35">
      <c r="A166" s="364" t="s">
        <v>64</v>
      </c>
      <c r="B166" s="365"/>
      <c r="C166" s="365"/>
      <c r="D166" s="365"/>
      <c r="E166" s="365"/>
      <c r="F166" s="365"/>
      <c r="G166" s="365"/>
      <c r="H166" s="365"/>
      <c r="I166" s="366"/>
      <c r="J166" s="275">
        <f>SUM(J165:J165)</f>
        <v>631.24</v>
      </c>
    </row>
    <row r="167" spans="1:10" x14ac:dyDescent="0.3">
      <c r="A167" s="247" t="str">
        <f>ORÇAMENTO!A53</f>
        <v>5.5</v>
      </c>
      <c r="B167" s="73" t="str">
        <f>ORÇAMENTO!B53</f>
        <v>GOINFRA</v>
      </c>
      <c r="C167" s="74">
        <f>ORÇAMENTO!C53</f>
        <v>60305</v>
      </c>
      <c r="D167" s="75" t="str">
        <f>ORÇAMENTO!D53</f>
        <v xml:space="preserve">ACO CA-50A - 10,0 MM (3/8") - (OBRAS CIVIS) </v>
      </c>
      <c r="E167" s="74" t="str">
        <f>ORÇAMENTO!F53</f>
        <v xml:space="preserve">Kg </v>
      </c>
      <c r="F167" s="371" t="s">
        <v>530</v>
      </c>
      <c r="G167" s="372"/>
      <c r="H167" s="372"/>
      <c r="I167" s="373"/>
      <c r="J167" s="79" t="s">
        <v>86</v>
      </c>
    </row>
    <row r="168" spans="1:10" x14ac:dyDescent="0.3">
      <c r="A168" s="247"/>
      <c r="B168" s="73"/>
      <c r="C168" s="74"/>
      <c r="D168" s="75" t="s">
        <v>564</v>
      </c>
      <c r="E168" s="74"/>
      <c r="F168" s="354">
        <v>1908.85</v>
      </c>
      <c r="G168" s="369"/>
      <c r="H168" s="369"/>
      <c r="I168" s="355"/>
      <c r="J168" s="79">
        <f>F168</f>
        <v>1908.85</v>
      </c>
    </row>
    <row r="169" spans="1:10" x14ac:dyDescent="0.3">
      <c r="A169" s="247"/>
      <c r="B169" s="73"/>
      <c r="C169" s="74"/>
      <c r="D169" s="75" t="s">
        <v>565</v>
      </c>
      <c r="E169" s="74"/>
      <c r="F169" s="354">
        <v>1444.77</v>
      </c>
      <c r="G169" s="369"/>
      <c r="H169" s="369"/>
      <c r="I169" s="355"/>
      <c r="J169" s="79">
        <f>F169</f>
        <v>1444.77</v>
      </c>
    </row>
    <row r="170" spans="1:10" ht="15" thickBot="1" x14ac:dyDescent="0.35">
      <c r="A170" s="364" t="s">
        <v>64</v>
      </c>
      <c r="B170" s="365"/>
      <c r="C170" s="365"/>
      <c r="D170" s="365"/>
      <c r="E170" s="365"/>
      <c r="F170" s="365"/>
      <c r="G170" s="365"/>
      <c r="H170" s="365"/>
      <c r="I170" s="366"/>
      <c r="J170" s="275">
        <f>SUM(J168:J169)</f>
        <v>3353.62</v>
      </c>
    </row>
    <row r="171" spans="1:10" x14ac:dyDescent="0.3">
      <c r="A171" s="247" t="str">
        <f>ORÇAMENTO!A54</f>
        <v>5.6</v>
      </c>
      <c r="B171" s="73" t="str">
        <f>ORÇAMENTO!B54</f>
        <v>GOINFRA</v>
      </c>
      <c r="C171" s="74">
        <f>ORÇAMENTO!C54</f>
        <v>60306</v>
      </c>
      <c r="D171" s="75" t="str">
        <f>ORÇAMENTO!D54</f>
        <v xml:space="preserve">ACO CA-50A - 12,5 MM (1/2") - (OBRAS CIVIS) </v>
      </c>
      <c r="E171" s="74" t="str">
        <f>ORÇAMENTO!F54</f>
        <v xml:space="preserve">Kg </v>
      </c>
      <c r="F171" s="371" t="s">
        <v>530</v>
      </c>
      <c r="G171" s="372"/>
      <c r="H171" s="372"/>
      <c r="I171" s="373"/>
      <c r="J171" s="76" t="s">
        <v>86</v>
      </c>
    </row>
    <row r="172" spans="1:10" x14ac:dyDescent="0.3">
      <c r="A172" s="247"/>
      <c r="B172" s="73"/>
      <c r="C172" s="74"/>
      <c r="D172" s="75" t="s">
        <v>565</v>
      </c>
      <c r="E172" s="74"/>
      <c r="F172" s="354">
        <v>23.11</v>
      </c>
      <c r="G172" s="369"/>
      <c r="H172" s="369"/>
      <c r="I172" s="355"/>
      <c r="J172" s="76">
        <f>F172</f>
        <v>23.11</v>
      </c>
    </row>
    <row r="173" spans="1:10" ht="15" thickBot="1" x14ac:dyDescent="0.35">
      <c r="A173" s="364" t="s">
        <v>64</v>
      </c>
      <c r="B173" s="365"/>
      <c r="C173" s="365"/>
      <c r="D173" s="365"/>
      <c r="E173" s="365"/>
      <c r="F173" s="365"/>
      <c r="G173" s="365"/>
      <c r="H173" s="365"/>
      <c r="I173" s="366"/>
      <c r="J173" s="275">
        <f>SUM(J172:J172)</f>
        <v>23.11</v>
      </c>
    </row>
    <row r="174" spans="1:10" x14ac:dyDescent="0.3">
      <c r="A174" s="248" t="str">
        <f>ORÇAMENTO!A55</f>
        <v>5.7</v>
      </c>
      <c r="B174" s="83" t="str">
        <f>ORÇAMENTO!B55</f>
        <v>GOINFRA</v>
      </c>
      <c r="C174" s="84">
        <f>ORÇAMENTO!C55</f>
        <v>60314</v>
      </c>
      <c r="D174" s="218" t="str">
        <f>ORÇAMENTO!D55</f>
        <v xml:space="preserve">ACO CA - 60 - 5,0 MM - (OBRAS CIVIS) </v>
      </c>
      <c r="E174" s="84" t="str">
        <f>ORÇAMENTO!F55</f>
        <v xml:space="preserve">Kg </v>
      </c>
      <c r="F174" s="371" t="s">
        <v>530</v>
      </c>
      <c r="G174" s="372"/>
      <c r="H174" s="372"/>
      <c r="I174" s="373"/>
      <c r="J174" s="76" t="s">
        <v>86</v>
      </c>
    </row>
    <row r="175" spans="1:10" x14ac:dyDescent="0.3">
      <c r="A175" s="247"/>
      <c r="B175" s="73"/>
      <c r="C175" s="74"/>
      <c r="D175" s="75" t="s">
        <v>565</v>
      </c>
      <c r="E175" s="74"/>
      <c r="F175" s="354">
        <v>516.63</v>
      </c>
      <c r="G175" s="369"/>
      <c r="H175" s="369"/>
      <c r="I175" s="355"/>
      <c r="J175" s="79">
        <f>F175</f>
        <v>516.63</v>
      </c>
    </row>
    <row r="176" spans="1:10" ht="15" thickBot="1" x14ac:dyDescent="0.35">
      <c r="A176" s="364" t="s">
        <v>64</v>
      </c>
      <c r="B176" s="365"/>
      <c r="C176" s="365"/>
      <c r="D176" s="365"/>
      <c r="E176" s="365"/>
      <c r="F176" s="365"/>
      <c r="G176" s="365"/>
      <c r="H176" s="365"/>
      <c r="I176" s="366"/>
      <c r="J176" s="275">
        <f>J175</f>
        <v>516.63</v>
      </c>
    </row>
    <row r="177" spans="1:10" x14ac:dyDescent="0.3">
      <c r="A177" s="247" t="str">
        <f>ORÇAMENTO!A56</f>
        <v>5.8</v>
      </c>
      <c r="B177" s="73" t="str">
        <f>ORÇAMENTO!B56</f>
        <v>GOINFRA</v>
      </c>
      <c r="C177" s="74">
        <f>ORÇAMENTO!C56</f>
        <v>60470</v>
      </c>
      <c r="D177" s="86" t="str">
        <f>ORÇAMENTO!D56</f>
        <v xml:space="preserve">LASTRO DE BRITA - (OBRAS CIVIS) </v>
      </c>
      <c r="E177" s="74" t="str">
        <f>ORÇAMENTO!F51</f>
        <v xml:space="preserve">Kg </v>
      </c>
      <c r="F177" s="377" t="s">
        <v>115</v>
      </c>
      <c r="G177" s="378"/>
      <c r="H177" s="82" t="s">
        <v>555</v>
      </c>
      <c r="I177" s="82" t="s">
        <v>954</v>
      </c>
      <c r="J177" s="79" t="s">
        <v>86</v>
      </c>
    </row>
    <row r="178" spans="1:10" x14ac:dyDescent="0.3">
      <c r="A178" s="247"/>
      <c r="B178" s="73"/>
      <c r="C178" s="74"/>
      <c r="D178" s="75" t="s">
        <v>603</v>
      </c>
      <c r="E178" s="74"/>
      <c r="F178" s="358">
        <v>25.1</v>
      </c>
      <c r="G178" s="359"/>
      <c r="H178" s="82">
        <v>12.65</v>
      </c>
      <c r="I178" s="82">
        <v>0.05</v>
      </c>
      <c r="J178" s="79">
        <f>F178*H178*I178</f>
        <v>15.875750000000004</v>
      </c>
    </row>
    <row r="179" spans="1:10" x14ac:dyDescent="0.3">
      <c r="A179" s="247"/>
      <c r="B179" s="73"/>
      <c r="C179" s="74"/>
      <c r="D179" s="75" t="s">
        <v>953</v>
      </c>
      <c r="E179" s="74"/>
      <c r="F179" s="358" t="s">
        <v>1234</v>
      </c>
      <c r="G179" s="359"/>
      <c r="H179" s="82">
        <v>1.2</v>
      </c>
      <c r="I179" s="82">
        <v>0.05</v>
      </c>
      <c r="J179" s="79">
        <f>(25.1+12.65+25.1+12.65)*H179*I179</f>
        <v>4.53</v>
      </c>
    </row>
    <row r="180" spans="1:10" ht="15" thickBot="1" x14ac:dyDescent="0.35">
      <c r="A180" s="364" t="s">
        <v>64</v>
      </c>
      <c r="B180" s="365"/>
      <c r="C180" s="365"/>
      <c r="D180" s="365"/>
      <c r="E180" s="365"/>
      <c r="F180" s="365"/>
      <c r="G180" s="365"/>
      <c r="H180" s="365"/>
      <c r="I180" s="366"/>
      <c r="J180" s="275">
        <f>SUM(J178:J179)</f>
        <v>20.405750000000005</v>
      </c>
    </row>
    <row r="181" spans="1:10" x14ac:dyDescent="0.3">
      <c r="A181" s="247" t="str">
        <f>ORÇAMENTO!A57</f>
        <v>5.9</v>
      </c>
      <c r="B181" s="73" t="str">
        <f>ORÇAMENTO!B57</f>
        <v>GOINFRA</v>
      </c>
      <c r="C181" s="74">
        <f>ORÇAMENTO!C57</f>
        <v>60518</v>
      </c>
      <c r="D181" s="75" t="str">
        <f>ORÇAMENTO!D57</f>
        <v xml:space="preserve">PREPARO COM BETONEIRA E TRANSPORTE MANUAL DE CONCRETO FCK=30 MPA </v>
      </c>
      <c r="E181" s="74" t="str">
        <f>ORÇAMENTO!F57</f>
        <v xml:space="preserve">m3 </v>
      </c>
      <c r="F181" s="371" t="s">
        <v>567</v>
      </c>
      <c r="G181" s="372"/>
      <c r="H181" s="372"/>
      <c r="I181" s="373"/>
      <c r="J181" s="79" t="s">
        <v>86</v>
      </c>
    </row>
    <row r="182" spans="1:10" x14ac:dyDescent="0.3">
      <c r="A182" s="247"/>
      <c r="B182" s="73"/>
      <c r="C182" s="74"/>
      <c r="D182" s="75" t="s">
        <v>566</v>
      </c>
      <c r="E182" s="74"/>
      <c r="F182" s="354">
        <v>43.31</v>
      </c>
      <c r="G182" s="369"/>
      <c r="H182" s="369"/>
      <c r="I182" s="355"/>
      <c r="J182" s="79">
        <f t="shared" ref="J182:J187" si="0">F182</f>
        <v>43.31</v>
      </c>
    </row>
    <row r="183" spans="1:10" x14ac:dyDescent="0.3">
      <c r="A183" s="247"/>
      <c r="B183" s="73"/>
      <c r="C183" s="74"/>
      <c r="D183" s="75" t="s">
        <v>554</v>
      </c>
      <c r="E183" s="74"/>
      <c r="F183" s="354">
        <v>11.19</v>
      </c>
      <c r="G183" s="369"/>
      <c r="H183" s="369"/>
      <c r="I183" s="355"/>
      <c r="J183" s="79">
        <f t="shared" si="0"/>
        <v>11.19</v>
      </c>
    </row>
    <row r="184" spans="1:10" x14ac:dyDescent="0.3">
      <c r="A184" s="247"/>
      <c r="B184" s="73"/>
      <c r="C184" s="74"/>
      <c r="D184" s="75" t="s">
        <v>611</v>
      </c>
      <c r="E184" s="74"/>
      <c r="F184" s="354">
        <f>0.14*0.3*4.7*20</f>
        <v>3.9480000000000004</v>
      </c>
      <c r="G184" s="369"/>
      <c r="H184" s="369"/>
      <c r="I184" s="355"/>
      <c r="J184" s="79">
        <f t="shared" si="0"/>
        <v>3.9480000000000004</v>
      </c>
    </row>
    <row r="185" spans="1:10" x14ac:dyDescent="0.3">
      <c r="A185" s="247"/>
      <c r="B185" s="73"/>
      <c r="C185" s="74"/>
      <c r="D185" s="75" t="s">
        <v>612</v>
      </c>
      <c r="E185" s="74"/>
      <c r="F185" s="354">
        <f>0.14*0.3*4.3*78</f>
        <v>14.0868</v>
      </c>
      <c r="G185" s="369"/>
      <c r="H185" s="369"/>
      <c r="I185" s="355"/>
      <c r="J185" s="79">
        <f t="shared" si="0"/>
        <v>14.0868</v>
      </c>
    </row>
    <row r="186" spans="1:10" x14ac:dyDescent="0.3">
      <c r="A186" s="247"/>
      <c r="B186" s="73"/>
      <c r="C186" s="74"/>
      <c r="D186" s="75" t="s">
        <v>613</v>
      </c>
      <c r="E186" s="74"/>
      <c r="F186" s="354">
        <f>0.14*0.3*3*51</f>
        <v>6.4260000000000002</v>
      </c>
      <c r="G186" s="369"/>
      <c r="H186" s="369"/>
      <c r="I186" s="355"/>
      <c r="J186" s="79">
        <f t="shared" si="0"/>
        <v>6.4260000000000002</v>
      </c>
    </row>
    <row r="187" spans="1:10" x14ac:dyDescent="0.3">
      <c r="A187" s="247"/>
      <c r="B187" s="73"/>
      <c r="C187" s="74"/>
      <c r="D187" s="75" t="s">
        <v>614</v>
      </c>
      <c r="E187" s="74"/>
      <c r="F187" s="354">
        <f>2*0.14*0.4*3</f>
        <v>0.33600000000000008</v>
      </c>
      <c r="G187" s="369"/>
      <c r="H187" s="369"/>
      <c r="I187" s="355"/>
      <c r="J187" s="79">
        <f t="shared" si="0"/>
        <v>0.33600000000000008</v>
      </c>
    </row>
    <row r="188" spans="1:10" x14ac:dyDescent="0.3">
      <c r="A188" s="248"/>
      <c r="B188" s="83"/>
      <c r="C188" s="84"/>
      <c r="D188" s="85" t="s">
        <v>603</v>
      </c>
      <c r="E188" s="84"/>
      <c r="F188" s="354" t="s">
        <v>959</v>
      </c>
      <c r="G188" s="369"/>
      <c r="H188" s="369"/>
      <c r="I188" s="355"/>
      <c r="J188" s="79">
        <f>25.2*12.65*0.2</f>
        <v>63.756</v>
      </c>
    </row>
    <row r="189" spans="1:10" x14ac:dyDescent="0.3">
      <c r="A189" s="248"/>
      <c r="B189" s="83"/>
      <c r="C189" s="84"/>
      <c r="D189" s="85" t="s">
        <v>956</v>
      </c>
      <c r="E189" s="84"/>
      <c r="F189" s="354" t="s">
        <v>1235</v>
      </c>
      <c r="G189" s="369"/>
      <c r="H189" s="369"/>
      <c r="I189" s="355"/>
      <c r="J189" s="79">
        <f>25.1*1.25*0.2*2+12.65*1.25*2*0.2</f>
        <v>18.875</v>
      </c>
    </row>
    <row r="190" spans="1:10" x14ac:dyDescent="0.3">
      <c r="A190" s="248"/>
      <c r="B190" s="83"/>
      <c r="C190" s="84"/>
      <c r="D190" s="85" t="s">
        <v>953</v>
      </c>
      <c r="E190" s="84"/>
      <c r="F190" s="354" t="s">
        <v>1236</v>
      </c>
      <c r="G190" s="369"/>
      <c r="H190" s="369"/>
      <c r="I190" s="355"/>
      <c r="J190" s="79">
        <f>(25.1+25.1+12.65+12.65+4*1.2)*1.2*0.1</f>
        <v>9.636000000000001</v>
      </c>
    </row>
    <row r="191" spans="1:10" ht="15" thickBot="1" x14ac:dyDescent="0.35">
      <c r="A191" s="364" t="s">
        <v>64</v>
      </c>
      <c r="B191" s="365"/>
      <c r="C191" s="365"/>
      <c r="D191" s="365"/>
      <c r="E191" s="365"/>
      <c r="F191" s="365"/>
      <c r="G191" s="365"/>
      <c r="H191" s="365"/>
      <c r="I191" s="366"/>
      <c r="J191" s="275">
        <f>SUM(J182:J190)</f>
        <v>171.56379999999999</v>
      </c>
    </row>
    <row r="192" spans="1:10" x14ac:dyDescent="0.3">
      <c r="A192" s="247" t="str">
        <f>ORÇAMENTO!A58</f>
        <v>5.10</v>
      </c>
      <c r="B192" s="73" t="str">
        <f>ORÇAMENTO!B58</f>
        <v>GOINFRA</v>
      </c>
      <c r="C192" s="74">
        <f>ORÇAMENTO!C58</f>
        <v>60802</v>
      </c>
      <c r="D192" s="75" t="str">
        <f>ORÇAMENTO!D58</f>
        <v xml:space="preserve">LANÇAMENTO/APLICAÇÃO/ADENSAMENTO DE CONCRETO EM ESTRUTURA - (O.C.) </v>
      </c>
      <c r="E192" s="74" t="str">
        <f>ORÇAMENTO!F58</f>
        <v xml:space="preserve">m3 </v>
      </c>
      <c r="F192" s="371" t="s">
        <v>567</v>
      </c>
      <c r="G192" s="372"/>
      <c r="H192" s="372"/>
      <c r="I192" s="373"/>
      <c r="J192" s="79" t="s">
        <v>86</v>
      </c>
    </row>
    <row r="193" spans="1:10" x14ac:dyDescent="0.3">
      <c r="A193" s="247"/>
      <c r="B193" s="73"/>
      <c r="C193" s="74"/>
      <c r="D193" s="75" t="s">
        <v>566</v>
      </c>
      <c r="E193" s="74"/>
      <c r="F193" s="354">
        <v>43.31</v>
      </c>
      <c r="G193" s="369"/>
      <c r="H193" s="369"/>
      <c r="I193" s="355"/>
      <c r="J193" s="79">
        <f t="shared" ref="J193:J198" si="1">F193</f>
        <v>43.31</v>
      </c>
    </row>
    <row r="194" spans="1:10" x14ac:dyDescent="0.3">
      <c r="A194" s="247"/>
      <c r="B194" s="73"/>
      <c r="C194" s="74"/>
      <c r="D194" s="75" t="s">
        <v>554</v>
      </c>
      <c r="E194" s="74"/>
      <c r="F194" s="354">
        <v>11.19</v>
      </c>
      <c r="G194" s="369"/>
      <c r="H194" s="369"/>
      <c r="I194" s="355"/>
      <c r="J194" s="79">
        <f t="shared" si="1"/>
        <v>11.19</v>
      </c>
    </row>
    <row r="195" spans="1:10" x14ac:dyDescent="0.3">
      <c r="A195" s="247"/>
      <c r="B195" s="73"/>
      <c r="C195" s="74"/>
      <c r="D195" s="75" t="s">
        <v>611</v>
      </c>
      <c r="E195" s="74"/>
      <c r="F195" s="354">
        <f>0.14*0.3*4.7*20</f>
        <v>3.9480000000000004</v>
      </c>
      <c r="G195" s="369"/>
      <c r="H195" s="369"/>
      <c r="I195" s="355"/>
      <c r="J195" s="79">
        <f t="shared" si="1"/>
        <v>3.9480000000000004</v>
      </c>
    </row>
    <row r="196" spans="1:10" x14ac:dyDescent="0.3">
      <c r="A196" s="247"/>
      <c r="B196" s="73"/>
      <c r="C196" s="74"/>
      <c r="D196" s="75" t="s">
        <v>612</v>
      </c>
      <c r="E196" s="74"/>
      <c r="F196" s="354">
        <f>0.14*0.3*4.3*78</f>
        <v>14.0868</v>
      </c>
      <c r="G196" s="369"/>
      <c r="H196" s="369"/>
      <c r="I196" s="355"/>
      <c r="J196" s="79">
        <f t="shared" si="1"/>
        <v>14.0868</v>
      </c>
    </row>
    <row r="197" spans="1:10" x14ac:dyDescent="0.3">
      <c r="A197" s="247"/>
      <c r="B197" s="73"/>
      <c r="C197" s="74"/>
      <c r="D197" s="75" t="s">
        <v>613</v>
      </c>
      <c r="E197" s="74"/>
      <c r="F197" s="354">
        <f>0.14*0.3*3*51</f>
        <v>6.4260000000000002</v>
      </c>
      <c r="G197" s="369"/>
      <c r="H197" s="369"/>
      <c r="I197" s="355"/>
      <c r="J197" s="79">
        <f t="shared" si="1"/>
        <v>6.4260000000000002</v>
      </c>
    </row>
    <row r="198" spans="1:10" x14ac:dyDescent="0.3">
      <c r="A198" s="247"/>
      <c r="B198" s="73"/>
      <c r="C198" s="74"/>
      <c r="D198" s="75" t="s">
        <v>614</v>
      </c>
      <c r="E198" s="74"/>
      <c r="F198" s="354">
        <f>2*0.14*0.4*3</f>
        <v>0.33600000000000008</v>
      </c>
      <c r="G198" s="369"/>
      <c r="H198" s="369"/>
      <c r="I198" s="355"/>
      <c r="J198" s="79">
        <f t="shared" si="1"/>
        <v>0.33600000000000008</v>
      </c>
    </row>
    <row r="199" spans="1:10" x14ac:dyDescent="0.3">
      <c r="A199" s="248"/>
      <c r="B199" s="83"/>
      <c r="C199" s="84"/>
      <c r="D199" s="85" t="s">
        <v>603</v>
      </c>
      <c r="E199" s="84"/>
      <c r="F199" s="354" t="s">
        <v>959</v>
      </c>
      <c r="G199" s="369"/>
      <c r="H199" s="369"/>
      <c r="I199" s="355"/>
      <c r="J199" s="79">
        <f>25.2*12.65*0.2</f>
        <v>63.756</v>
      </c>
    </row>
    <row r="200" spans="1:10" x14ac:dyDescent="0.3">
      <c r="A200" s="248"/>
      <c r="B200" s="83"/>
      <c r="C200" s="84"/>
      <c r="D200" s="85" t="s">
        <v>956</v>
      </c>
      <c r="E200" s="84"/>
      <c r="F200" s="354" t="s">
        <v>1235</v>
      </c>
      <c r="G200" s="369"/>
      <c r="H200" s="369"/>
      <c r="I200" s="355"/>
      <c r="J200" s="79">
        <f>25.2*1.25*0.2*2+12.65*1.25*2*0.2</f>
        <v>18.925000000000001</v>
      </c>
    </row>
    <row r="201" spans="1:10" x14ac:dyDescent="0.3">
      <c r="A201" s="248"/>
      <c r="B201" s="83"/>
      <c r="C201" s="84"/>
      <c r="D201" s="85" t="s">
        <v>953</v>
      </c>
      <c r="E201" s="84"/>
      <c r="F201" s="354" t="s">
        <v>1236</v>
      </c>
      <c r="G201" s="369"/>
      <c r="H201" s="369"/>
      <c r="I201" s="355"/>
      <c r="J201" s="79">
        <f>(25.2+25.2+12.65+12.65+4*1.2)*1.2*0.1</f>
        <v>9.66</v>
      </c>
    </row>
    <row r="202" spans="1:10" ht="15" thickBot="1" x14ac:dyDescent="0.35">
      <c r="A202" s="364" t="s">
        <v>64</v>
      </c>
      <c r="B202" s="365"/>
      <c r="C202" s="365"/>
      <c r="D202" s="365"/>
      <c r="E202" s="365"/>
      <c r="F202" s="365"/>
      <c r="G202" s="365"/>
      <c r="H202" s="365"/>
      <c r="I202" s="366"/>
      <c r="J202" s="275">
        <f>SUM(J193:J201)</f>
        <v>171.6378</v>
      </c>
    </row>
    <row r="203" spans="1:10" ht="28.8" x14ac:dyDescent="0.3">
      <c r="A203" s="247" t="str">
        <f>ORÇAMENTO!A59</f>
        <v>5.11</v>
      </c>
      <c r="B203" s="73" t="str">
        <f>ORÇAMENTO!B59</f>
        <v>GOINFRA</v>
      </c>
      <c r="C203" s="74">
        <f>ORÇAMENTO!C59</f>
        <v>61101</v>
      </c>
      <c r="D203" s="75" t="str">
        <f>ORÇAMENTO!D59</f>
        <v>FORRO EM LAJE PRE-MOLDADA INC.CAPEAMENTO/FERR.DISTRIB./ESCORAMENTO E FORMA/DESFORMA</v>
      </c>
      <c r="E203" s="74" t="str">
        <f>ORÇAMENTO!F59</f>
        <v xml:space="preserve">m2 </v>
      </c>
      <c r="F203" s="371" t="s">
        <v>88</v>
      </c>
      <c r="G203" s="372"/>
      <c r="H203" s="372"/>
      <c r="I203" s="373"/>
      <c r="J203" s="76" t="s">
        <v>86</v>
      </c>
    </row>
    <row r="204" spans="1:10" x14ac:dyDescent="0.3">
      <c r="A204" s="247"/>
      <c r="B204" s="73"/>
      <c r="C204" s="74"/>
      <c r="D204" s="75" t="s">
        <v>516</v>
      </c>
      <c r="E204" s="245"/>
      <c r="F204" s="360">
        <v>39.159999999999997</v>
      </c>
      <c r="G204" s="361"/>
      <c r="H204" s="361"/>
      <c r="I204" s="362"/>
      <c r="J204" s="276">
        <f>F204</f>
        <v>39.159999999999997</v>
      </c>
    </row>
    <row r="205" spans="1:10" x14ac:dyDescent="0.3">
      <c r="A205" s="247"/>
      <c r="B205" s="73"/>
      <c r="C205" s="74"/>
      <c r="D205" s="75" t="s">
        <v>905</v>
      </c>
      <c r="E205" s="245"/>
      <c r="F205" s="360">
        <v>12.25</v>
      </c>
      <c r="G205" s="361"/>
      <c r="H205" s="361"/>
      <c r="I205" s="362"/>
      <c r="J205" s="276">
        <f t="shared" ref="J205:J267" si="2">F205</f>
        <v>12.25</v>
      </c>
    </row>
    <row r="206" spans="1:10" x14ac:dyDescent="0.3">
      <c r="A206" s="247"/>
      <c r="B206" s="73"/>
      <c r="C206" s="74"/>
      <c r="D206" s="75" t="s">
        <v>906</v>
      </c>
      <c r="E206" s="245"/>
      <c r="F206" s="360">
        <v>12.25</v>
      </c>
      <c r="G206" s="361"/>
      <c r="H206" s="361"/>
      <c r="I206" s="362"/>
      <c r="J206" s="276">
        <f t="shared" si="2"/>
        <v>12.25</v>
      </c>
    </row>
    <row r="207" spans="1:10" x14ac:dyDescent="0.3">
      <c r="A207" s="247"/>
      <c r="B207" s="73"/>
      <c r="C207" s="74"/>
      <c r="D207" s="75" t="s">
        <v>907</v>
      </c>
      <c r="E207" s="245"/>
      <c r="F207" s="360">
        <v>12.25</v>
      </c>
      <c r="G207" s="361"/>
      <c r="H207" s="361"/>
      <c r="I207" s="362"/>
      <c r="J207" s="276">
        <f t="shared" si="2"/>
        <v>12.25</v>
      </c>
    </row>
    <row r="208" spans="1:10" x14ac:dyDescent="0.3">
      <c r="A208" s="247"/>
      <c r="B208" s="73"/>
      <c r="C208" s="74"/>
      <c r="D208" s="75" t="s">
        <v>908</v>
      </c>
      <c r="E208" s="245"/>
      <c r="F208" s="360">
        <v>12.25</v>
      </c>
      <c r="G208" s="361"/>
      <c r="H208" s="361"/>
      <c r="I208" s="362"/>
      <c r="J208" s="276">
        <f t="shared" si="2"/>
        <v>12.25</v>
      </c>
    </row>
    <row r="209" spans="1:10" x14ac:dyDescent="0.3">
      <c r="A209" s="247"/>
      <c r="B209" s="73"/>
      <c r="C209" s="74"/>
      <c r="D209" s="75" t="s">
        <v>909</v>
      </c>
      <c r="E209" s="245"/>
      <c r="F209" s="360">
        <v>12.25</v>
      </c>
      <c r="G209" s="361"/>
      <c r="H209" s="361"/>
      <c r="I209" s="362"/>
      <c r="J209" s="276">
        <f t="shared" si="2"/>
        <v>12.25</v>
      </c>
    </row>
    <row r="210" spans="1:10" x14ac:dyDescent="0.3">
      <c r="A210" s="251"/>
      <c r="B210" s="90"/>
      <c r="C210" s="91"/>
      <c r="D210" s="75" t="s">
        <v>910</v>
      </c>
      <c r="E210" s="91"/>
      <c r="F210" s="360">
        <v>12.25</v>
      </c>
      <c r="G210" s="361"/>
      <c r="H210" s="361"/>
      <c r="I210" s="362"/>
      <c r="J210" s="276">
        <f t="shared" si="2"/>
        <v>12.25</v>
      </c>
    </row>
    <row r="211" spans="1:10" x14ac:dyDescent="0.3">
      <c r="A211" s="247"/>
      <c r="B211" s="73"/>
      <c r="C211" s="74"/>
      <c r="D211" s="75" t="s">
        <v>911</v>
      </c>
      <c r="E211" s="245"/>
      <c r="F211" s="360">
        <v>12.25</v>
      </c>
      <c r="G211" s="361"/>
      <c r="H211" s="361"/>
      <c r="I211" s="362"/>
      <c r="J211" s="276">
        <f t="shared" si="2"/>
        <v>12.25</v>
      </c>
    </row>
    <row r="212" spans="1:10" x14ac:dyDescent="0.3">
      <c r="A212" s="247"/>
      <c r="B212" s="73"/>
      <c r="C212" s="74"/>
      <c r="D212" s="75" t="s">
        <v>912</v>
      </c>
      <c r="E212" s="245"/>
      <c r="F212" s="360">
        <v>12.25</v>
      </c>
      <c r="G212" s="361"/>
      <c r="H212" s="361"/>
      <c r="I212" s="362"/>
      <c r="J212" s="276">
        <f t="shared" si="2"/>
        <v>12.25</v>
      </c>
    </row>
    <row r="213" spans="1:10" x14ac:dyDescent="0.3">
      <c r="A213" s="247"/>
      <c r="B213" s="73"/>
      <c r="C213" s="74"/>
      <c r="D213" s="75" t="s">
        <v>913</v>
      </c>
      <c r="E213" s="245"/>
      <c r="F213" s="360">
        <v>12.25</v>
      </c>
      <c r="G213" s="361"/>
      <c r="H213" s="361"/>
      <c r="I213" s="362"/>
      <c r="J213" s="276">
        <f t="shared" si="2"/>
        <v>12.25</v>
      </c>
    </row>
    <row r="214" spans="1:10" x14ac:dyDescent="0.3">
      <c r="A214" s="247"/>
      <c r="B214" s="73"/>
      <c r="C214" s="74"/>
      <c r="D214" s="75" t="s">
        <v>914</v>
      </c>
      <c r="E214" s="245"/>
      <c r="F214" s="360">
        <v>12.25</v>
      </c>
      <c r="G214" s="361"/>
      <c r="H214" s="361"/>
      <c r="I214" s="362"/>
      <c r="J214" s="276">
        <f t="shared" si="2"/>
        <v>12.25</v>
      </c>
    </row>
    <row r="215" spans="1:10" x14ac:dyDescent="0.3">
      <c r="A215" s="247"/>
      <c r="B215" s="73"/>
      <c r="C215" s="74"/>
      <c r="D215" s="75" t="s">
        <v>915</v>
      </c>
      <c r="E215" s="245"/>
      <c r="F215" s="360">
        <v>12.25</v>
      </c>
      <c r="G215" s="361"/>
      <c r="H215" s="361"/>
      <c r="I215" s="362"/>
      <c r="J215" s="276">
        <f t="shared" si="2"/>
        <v>12.25</v>
      </c>
    </row>
    <row r="216" spans="1:10" x14ac:dyDescent="0.3">
      <c r="A216" s="251"/>
      <c r="B216" s="90"/>
      <c r="C216" s="91"/>
      <c r="D216" s="75" t="s">
        <v>916</v>
      </c>
      <c r="E216" s="91"/>
      <c r="F216" s="360">
        <v>12.25</v>
      </c>
      <c r="G216" s="361"/>
      <c r="H216" s="361"/>
      <c r="I216" s="362"/>
      <c r="J216" s="276">
        <f t="shared" si="2"/>
        <v>12.25</v>
      </c>
    </row>
    <row r="217" spans="1:10" x14ac:dyDescent="0.3">
      <c r="A217" s="247"/>
      <c r="B217" s="73"/>
      <c r="C217" s="74"/>
      <c r="D217" s="75" t="s">
        <v>917</v>
      </c>
      <c r="E217" s="245"/>
      <c r="F217" s="360">
        <v>12.25</v>
      </c>
      <c r="G217" s="361"/>
      <c r="H217" s="361"/>
      <c r="I217" s="362"/>
      <c r="J217" s="276">
        <f t="shared" si="2"/>
        <v>12.25</v>
      </c>
    </row>
    <row r="218" spans="1:10" x14ac:dyDescent="0.3">
      <c r="A218" s="247"/>
      <c r="B218" s="73"/>
      <c r="C218" s="74"/>
      <c r="D218" s="75" t="s">
        <v>918</v>
      </c>
      <c r="E218" s="245"/>
      <c r="F218" s="360">
        <v>12.25</v>
      </c>
      <c r="G218" s="361"/>
      <c r="H218" s="361"/>
      <c r="I218" s="362"/>
      <c r="J218" s="276">
        <f t="shared" si="2"/>
        <v>12.25</v>
      </c>
    </row>
    <row r="219" spans="1:10" x14ac:dyDescent="0.3">
      <c r="A219" s="247"/>
      <c r="B219" s="73"/>
      <c r="C219" s="74"/>
      <c r="D219" s="75" t="s">
        <v>919</v>
      </c>
      <c r="E219" s="245"/>
      <c r="F219" s="360">
        <v>12.25</v>
      </c>
      <c r="G219" s="361"/>
      <c r="H219" s="361"/>
      <c r="I219" s="362"/>
      <c r="J219" s="276">
        <f t="shared" si="2"/>
        <v>12.25</v>
      </c>
    </row>
    <row r="220" spans="1:10" x14ac:dyDescent="0.3">
      <c r="A220" s="247"/>
      <c r="B220" s="73"/>
      <c r="C220" s="74"/>
      <c r="D220" s="75" t="s">
        <v>920</v>
      </c>
      <c r="E220" s="245"/>
      <c r="F220" s="360">
        <v>12.25</v>
      </c>
      <c r="G220" s="361"/>
      <c r="H220" s="361"/>
      <c r="I220" s="362"/>
      <c r="J220" s="276">
        <f t="shared" si="2"/>
        <v>12.25</v>
      </c>
    </row>
    <row r="221" spans="1:10" x14ac:dyDescent="0.3">
      <c r="A221" s="247"/>
      <c r="B221" s="73"/>
      <c r="C221" s="74"/>
      <c r="D221" s="75" t="s">
        <v>861</v>
      </c>
      <c r="E221" s="245"/>
      <c r="F221" s="360">
        <v>5.32</v>
      </c>
      <c r="G221" s="361"/>
      <c r="H221" s="361"/>
      <c r="I221" s="362"/>
      <c r="J221" s="276">
        <f t="shared" si="2"/>
        <v>5.32</v>
      </c>
    </row>
    <row r="222" spans="1:10" x14ac:dyDescent="0.3">
      <c r="A222" s="251"/>
      <c r="B222" s="90"/>
      <c r="C222" s="91"/>
      <c r="D222" s="86" t="s">
        <v>863</v>
      </c>
      <c r="E222" s="91"/>
      <c r="F222" s="360">
        <v>3.35</v>
      </c>
      <c r="G222" s="361"/>
      <c r="H222" s="361"/>
      <c r="I222" s="362"/>
      <c r="J222" s="276">
        <f t="shared" si="2"/>
        <v>3.35</v>
      </c>
    </row>
    <row r="223" spans="1:10" x14ac:dyDescent="0.3">
      <c r="A223" s="247"/>
      <c r="B223" s="73"/>
      <c r="C223" s="74"/>
      <c r="D223" s="75" t="s">
        <v>774</v>
      </c>
      <c r="E223" s="245"/>
      <c r="F223" s="360">
        <v>5.32</v>
      </c>
      <c r="G223" s="361"/>
      <c r="H223" s="361"/>
      <c r="I223" s="362"/>
      <c r="J223" s="276">
        <f t="shared" si="2"/>
        <v>5.32</v>
      </c>
    </row>
    <row r="224" spans="1:10" x14ac:dyDescent="0.3">
      <c r="A224" s="247"/>
      <c r="B224" s="73"/>
      <c r="C224" s="74"/>
      <c r="D224" s="75" t="s">
        <v>864</v>
      </c>
      <c r="E224" s="245"/>
      <c r="F224" s="360">
        <v>3.35</v>
      </c>
      <c r="G224" s="361"/>
      <c r="H224" s="361"/>
      <c r="I224" s="362"/>
      <c r="J224" s="276">
        <f t="shared" si="2"/>
        <v>3.35</v>
      </c>
    </row>
    <row r="225" spans="1:10" x14ac:dyDescent="0.3">
      <c r="A225" s="247"/>
      <c r="B225" s="73"/>
      <c r="C225" s="74"/>
      <c r="D225" s="75" t="s">
        <v>922</v>
      </c>
      <c r="E225" s="245"/>
      <c r="F225" s="360">
        <v>3.63</v>
      </c>
      <c r="G225" s="361"/>
      <c r="H225" s="361"/>
      <c r="I225" s="362"/>
      <c r="J225" s="276">
        <f t="shared" si="2"/>
        <v>3.63</v>
      </c>
    </row>
    <row r="226" spans="1:10" x14ac:dyDescent="0.3">
      <c r="A226" s="247"/>
      <c r="B226" s="73"/>
      <c r="C226" s="74"/>
      <c r="D226" s="75" t="s">
        <v>921</v>
      </c>
      <c r="E226" s="245"/>
      <c r="F226" s="360">
        <v>17.440000000000001</v>
      </c>
      <c r="G226" s="361"/>
      <c r="H226" s="361"/>
      <c r="I226" s="362"/>
      <c r="J226" s="276">
        <f t="shared" si="2"/>
        <v>17.440000000000001</v>
      </c>
    </row>
    <row r="227" spans="1:10" x14ac:dyDescent="0.3">
      <c r="A227" s="247"/>
      <c r="B227" s="73"/>
      <c r="C227" s="74"/>
      <c r="D227" s="75" t="s">
        <v>923</v>
      </c>
      <c r="E227" s="245"/>
      <c r="F227" s="360">
        <v>5.74</v>
      </c>
      <c r="G227" s="361"/>
      <c r="H227" s="361"/>
      <c r="I227" s="362"/>
      <c r="J227" s="276">
        <f t="shared" si="2"/>
        <v>5.74</v>
      </c>
    </row>
    <row r="228" spans="1:10" x14ac:dyDescent="0.3">
      <c r="A228" s="251"/>
      <c r="B228" s="90"/>
      <c r="C228" s="91"/>
      <c r="D228" s="86" t="s">
        <v>616</v>
      </c>
      <c r="E228" s="91"/>
      <c r="F228" s="360">
        <v>12.25</v>
      </c>
      <c r="G228" s="361"/>
      <c r="H228" s="361"/>
      <c r="I228" s="362"/>
      <c r="J228" s="276">
        <f t="shared" si="2"/>
        <v>12.25</v>
      </c>
    </row>
    <row r="229" spans="1:10" x14ac:dyDescent="0.3">
      <c r="A229" s="251"/>
      <c r="B229" s="90"/>
      <c r="C229" s="91"/>
      <c r="D229" s="86" t="s">
        <v>811</v>
      </c>
      <c r="E229" s="91"/>
      <c r="F229" s="360">
        <v>48.09</v>
      </c>
      <c r="G229" s="361"/>
      <c r="H229" s="361"/>
      <c r="I229" s="362"/>
      <c r="J229" s="276">
        <f t="shared" si="2"/>
        <v>48.09</v>
      </c>
    </row>
    <row r="230" spans="1:10" x14ac:dyDescent="0.3">
      <c r="A230" s="251"/>
      <c r="B230" s="90"/>
      <c r="C230" s="91"/>
      <c r="D230" s="86" t="s">
        <v>720</v>
      </c>
      <c r="E230" s="91"/>
      <c r="F230" s="360">
        <v>4.26</v>
      </c>
      <c r="G230" s="361"/>
      <c r="H230" s="361"/>
      <c r="I230" s="362"/>
      <c r="J230" s="276">
        <f t="shared" si="2"/>
        <v>4.26</v>
      </c>
    </row>
    <row r="231" spans="1:10" x14ac:dyDescent="0.3">
      <c r="A231" s="251"/>
      <c r="B231" s="90"/>
      <c r="C231" s="91"/>
      <c r="D231" s="86" t="s">
        <v>780</v>
      </c>
      <c r="E231" s="91"/>
      <c r="F231" s="360">
        <v>11.73</v>
      </c>
      <c r="G231" s="361"/>
      <c r="H231" s="361"/>
      <c r="I231" s="362"/>
      <c r="J231" s="276">
        <f t="shared" si="2"/>
        <v>11.73</v>
      </c>
    </row>
    <row r="232" spans="1:10" x14ac:dyDescent="0.3">
      <c r="A232" s="251"/>
      <c r="B232" s="90"/>
      <c r="C232" s="91"/>
      <c r="D232" s="86" t="s">
        <v>781</v>
      </c>
      <c r="E232" s="91"/>
      <c r="F232" s="360">
        <v>11.73</v>
      </c>
      <c r="G232" s="361"/>
      <c r="H232" s="361"/>
      <c r="I232" s="362"/>
      <c r="J232" s="276">
        <f t="shared" si="2"/>
        <v>11.73</v>
      </c>
    </row>
    <row r="233" spans="1:10" x14ac:dyDescent="0.3">
      <c r="A233" s="251"/>
      <c r="B233" s="90"/>
      <c r="C233" s="91"/>
      <c r="D233" s="86" t="s">
        <v>723</v>
      </c>
      <c r="E233" s="91"/>
      <c r="F233" s="360">
        <v>11.2</v>
      </c>
      <c r="G233" s="361"/>
      <c r="H233" s="361"/>
      <c r="I233" s="362"/>
      <c r="J233" s="276">
        <f t="shared" si="2"/>
        <v>11.2</v>
      </c>
    </row>
    <row r="234" spans="1:10" x14ac:dyDescent="0.3">
      <c r="A234" s="251"/>
      <c r="B234" s="90"/>
      <c r="C234" s="91"/>
      <c r="D234" s="86" t="s">
        <v>633</v>
      </c>
      <c r="E234" s="91"/>
      <c r="F234" s="360">
        <v>7.74</v>
      </c>
      <c r="G234" s="361"/>
      <c r="H234" s="361"/>
      <c r="I234" s="362"/>
      <c r="J234" s="276">
        <f t="shared" si="2"/>
        <v>7.74</v>
      </c>
    </row>
    <row r="235" spans="1:10" x14ac:dyDescent="0.3">
      <c r="A235" s="251"/>
      <c r="B235" s="90"/>
      <c r="C235" s="91"/>
      <c r="D235" s="86" t="s">
        <v>727</v>
      </c>
      <c r="E235" s="91"/>
      <c r="F235" s="360">
        <v>10.33</v>
      </c>
      <c r="G235" s="361"/>
      <c r="H235" s="361"/>
      <c r="I235" s="362"/>
      <c r="J235" s="276">
        <f t="shared" si="2"/>
        <v>10.33</v>
      </c>
    </row>
    <row r="236" spans="1:10" x14ac:dyDescent="0.3">
      <c r="A236" s="251"/>
      <c r="B236" s="90"/>
      <c r="C236" s="91"/>
      <c r="D236" s="86" t="s">
        <v>729</v>
      </c>
      <c r="E236" s="91"/>
      <c r="F236" s="360">
        <v>10.33</v>
      </c>
      <c r="G236" s="361"/>
      <c r="H236" s="361"/>
      <c r="I236" s="362"/>
      <c r="J236" s="276">
        <f t="shared" si="2"/>
        <v>10.33</v>
      </c>
    </row>
    <row r="237" spans="1:10" x14ac:dyDescent="0.3">
      <c r="A237" s="251"/>
      <c r="B237" s="90"/>
      <c r="C237" s="91"/>
      <c r="D237" s="86" t="s">
        <v>730</v>
      </c>
      <c r="E237" s="91"/>
      <c r="F237" s="360">
        <v>10.33</v>
      </c>
      <c r="G237" s="361"/>
      <c r="H237" s="361"/>
      <c r="I237" s="362"/>
      <c r="J237" s="276">
        <f t="shared" si="2"/>
        <v>10.33</v>
      </c>
    </row>
    <row r="238" spans="1:10" x14ac:dyDescent="0.3">
      <c r="A238" s="251"/>
      <c r="B238" s="90"/>
      <c r="C238" s="91"/>
      <c r="D238" s="86" t="s">
        <v>731</v>
      </c>
      <c r="E238" s="91"/>
      <c r="F238" s="360">
        <v>10.33</v>
      </c>
      <c r="G238" s="361"/>
      <c r="H238" s="361"/>
      <c r="I238" s="362"/>
      <c r="J238" s="276">
        <f t="shared" si="2"/>
        <v>10.33</v>
      </c>
    </row>
    <row r="239" spans="1:10" x14ac:dyDescent="0.3">
      <c r="A239" s="251"/>
      <c r="B239" s="90"/>
      <c r="C239" s="91"/>
      <c r="D239" s="86" t="s">
        <v>924</v>
      </c>
      <c r="E239" s="91"/>
      <c r="F239" s="360">
        <v>33.39</v>
      </c>
      <c r="G239" s="361"/>
      <c r="H239" s="361"/>
      <c r="I239" s="362"/>
      <c r="J239" s="276">
        <f t="shared" si="2"/>
        <v>33.39</v>
      </c>
    </row>
    <row r="240" spans="1:10" x14ac:dyDescent="0.3">
      <c r="A240" s="251"/>
      <c r="B240" s="90"/>
      <c r="C240" s="91"/>
      <c r="D240" s="86" t="s">
        <v>724</v>
      </c>
      <c r="E240" s="91"/>
      <c r="F240" s="360">
        <v>3.07</v>
      </c>
      <c r="G240" s="361"/>
      <c r="H240" s="361"/>
      <c r="I240" s="362"/>
      <c r="J240" s="276">
        <f t="shared" si="2"/>
        <v>3.07</v>
      </c>
    </row>
    <row r="241" spans="1:10" x14ac:dyDescent="0.3">
      <c r="A241" s="251"/>
      <c r="B241" s="90"/>
      <c r="C241" s="91"/>
      <c r="D241" s="86" t="s">
        <v>725</v>
      </c>
      <c r="E241" s="91"/>
      <c r="F241" s="360">
        <v>3.07</v>
      </c>
      <c r="G241" s="361"/>
      <c r="H241" s="361"/>
      <c r="I241" s="362"/>
      <c r="J241" s="276">
        <f t="shared" si="2"/>
        <v>3.07</v>
      </c>
    </row>
    <row r="242" spans="1:10" x14ac:dyDescent="0.3">
      <c r="A242" s="251"/>
      <c r="B242" s="90"/>
      <c r="C242" s="91"/>
      <c r="D242" s="86" t="s">
        <v>841</v>
      </c>
      <c r="E242" s="91"/>
      <c r="F242" s="360">
        <v>10.33</v>
      </c>
      <c r="G242" s="361"/>
      <c r="H242" s="361"/>
      <c r="I242" s="362"/>
      <c r="J242" s="276">
        <f t="shared" si="2"/>
        <v>10.33</v>
      </c>
    </row>
    <row r="243" spans="1:10" x14ac:dyDescent="0.3">
      <c r="A243" s="251"/>
      <c r="B243" s="90"/>
      <c r="C243" s="91"/>
      <c r="D243" s="86" t="s">
        <v>787</v>
      </c>
      <c r="E243" s="91"/>
      <c r="F243" s="360">
        <v>3.08</v>
      </c>
      <c r="G243" s="361"/>
      <c r="H243" s="361"/>
      <c r="I243" s="362"/>
      <c r="J243" s="276">
        <f t="shared" si="2"/>
        <v>3.08</v>
      </c>
    </row>
    <row r="244" spans="1:10" x14ac:dyDescent="0.3">
      <c r="A244" s="251"/>
      <c r="B244" s="90"/>
      <c r="C244" s="91"/>
      <c r="D244" s="86" t="s">
        <v>789</v>
      </c>
      <c r="E244" s="91"/>
      <c r="F244" s="360">
        <v>3.08</v>
      </c>
      <c r="G244" s="361"/>
      <c r="H244" s="361"/>
      <c r="I244" s="362"/>
      <c r="J244" s="276">
        <f t="shared" si="2"/>
        <v>3.08</v>
      </c>
    </row>
    <row r="245" spans="1:10" x14ac:dyDescent="0.3">
      <c r="A245" s="251"/>
      <c r="B245" s="90"/>
      <c r="C245" s="91"/>
      <c r="D245" s="86" t="s">
        <v>732</v>
      </c>
      <c r="E245" s="91"/>
      <c r="F245" s="360">
        <v>10.15</v>
      </c>
      <c r="G245" s="361"/>
      <c r="H245" s="361"/>
      <c r="I245" s="362"/>
      <c r="J245" s="276">
        <f t="shared" si="2"/>
        <v>10.15</v>
      </c>
    </row>
    <row r="246" spans="1:10" x14ac:dyDescent="0.3">
      <c r="A246" s="251"/>
      <c r="B246" s="90"/>
      <c r="C246" s="91"/>
      <c r="D246" s="75" t="s">
        <v>925</v>
      </c>
      <c r="E246" s="91"/>
      <c r="F246" s="360">
        <v>3.41</v>
      </c>
      <c r="G246" s="361"/>
      <c r="H246" s="361"/>
      <c r="I246" s="362"/>
      <c r="J246" s="276">
        <f t="shared" si="2"/>
        <v>3.41</v>
      </c>
    </row>
    <row r="247" spans="1:10" x14ac:dyDescent="0.3">
      <c r="A247" s="251"/>
      <c r="B247" s="90"/>
      <c r="C247" s="91"/>
      <c r="D247" s="75" t="s">
        <v>926</v>
      </c>
      <c r="E247" s="91"/>
      <c r="F247" s="360">
        <v>11.55</v>
      </c>
      <c r="G247" s="361"/>
      <c r="H247" s="361"/>
      <c r="I247" s="362"/>
      <c r="J247" s="276">
        <f t="shared" si="2"/>
        <v>11.55</v>
      </c>
    </row>
    <row r="248" spans="1:10" x14ac:dyDescent="0.3">
      <c r="A248" s="251"/>
      <c r="B248" s="90"/>
      <c r="C248" s="91"/>
      <c r="D248" s="86" t="s">
        <v>927</v>
      </c>
      <c r="E248" s="91"/>
      <c r="F248" s="360">
        <v>11.55</v>
      </c>
      <c r="G248" s="361"/>
      <c r="H248" s="361"/>
      <c r="I248" s="362"/>
      <c r="J248" s="276">
        <f t="shared" si="2"/>
        <v>11.55</v>
      </c>
    </row>
    <row r="249" spans="1:10" x14ac:dyDescent="0.3">
      <c r="A249" s="251"/>
      <c r="B249" s="90"/>
      <c r="C249" s="91"/>
      <c r="D249" s="86" t="s">
        <v>928</v>
      </c>
      <c r="E249" s="91"/>
      <c r="F249" s="360">
        <v>11.55</v>
      </c>
      <c r="G249" s="361"/>
      <c r="H249" s="361"/>
      <c r="I249" s="362"/>
      <c r="J249" s="276">
        <f t="shared" si="2"/>
        <v>11.55</v>
      </c>
    </row>
    <row r="250" spans="1:10" x14ac:dyDescent="0.3">
      <c r="A250" s="251"/>
      <c r="B250" s="90"/>
      <c r="C250" s="91"/>
      <c r="D250" s="86" t="s">
        <v>929</v>
      </c>
      <c r="E250" s="91"/>
      <c r="F250" s="360">
        <v>11.55</v>
      </c>
      <c r="G250" s="361"/>
      <c r="H250" s="361"/>
      <c r="I250" s="362"/>
      <c r="J250" s="276">
        <f t="shared" si="2"/>
        <v>11.55</v>
      </c>
    </row>
    <row r="251" spans="1:10" x14ac:dyDescent="0.3">
      <c r="A251" s="251"/>
      <c r="B251" s="90"/>
      <c r="C251" s="91"/>
      <c r="D251" s="86" t="s">
        <v>930</v>
      </c>
      <c r="E251" s="91"/>
      <c r="F251" s="360">
        <v>11.55</v>
      </c>
      <c r="G251" s="361"/>
      <c r="H251" s="361"/>
      <c r="I251" s="362"/>
      <c r="J251" s="276">
        <f t="shared" si="2"/>
        <v>11.55</v>
      </c>
    </row>
    <row r="252" spans="1:10" x14ac:dyDescent="0.3">
      <c r="A252" s="251"/>
      <c r="B252" s="90"/>
      <c r="C252" s="91"/>
      <c r="D252" s="86" t="s">
        <v>931</v>
      </c>
      <c r="E252" s="91"/>
      <c r="F252" s="360">
        <v>11.55</v>
      </c>
      <c r="G252" s="361"/>
      <c r="H252" s="361"/>
      <c r="I252" s="362"/>
      <c r="J252" s="276">
        <f t="shared" si="2"/>
        <v>11.55</v>
      </c>
    </row>
    <row r="253" spans="1:10" x14ac:dyDescent="0.3">
      <c r="A253" s="251"/>
      <c r="B253" s="90"/>
      <c r="C253" s="91"/>
      <c r="D253" s="86" t="s">
        <v>932</v>
      </c>
      <c r="E253" s="91"/>
      <c r="F253" s="360">
        <v>11.55</v>
      </c>
      <c r="G253" s="361"/>
      <c r="H253" s="361"/>
      <c r="I253" s="362"/>
      <c r="J253" s="276">
        <f t="shared" si="2"/>
        <v>11.55</v>
      </c>
    </row>
    <row r="254" spans="1:10" x14ac:dyDescent="0.3">
      <c r="A254" s="251"/>
      <c r="B254" s="90"/>
      <c r="C254" s="91"/>
      <c r="D254" s="86" t="s">
        <v>933</v>
      </c>
      <c r="E254" s="91"/>
      <c r="F254" s="360">
        <v>11.55</v>
      </c>
      <c r="G254" s="361"/>
      <c r="H254" s="361"/>
      <c r="I254" s="362"/>
      <c r="J254" s="276">
        <f t="shared" si="2"/>
        <v>11.55</v>
      </c>
    </row>
    <row r="255" spans="1:10" x14ac:dyDescent="0.3">
      <c r="A255" s="251"/>
      <c r="B255" s="90"/>
      <c r="C255" s="91"/>
      <c r="D255" s="86" t="s">
        <v>626</v>
      </c>
      <c r="E255" s="91"/>
      <c r="F255" s="360">
        <v>25.87</v>
      </c>
      <c r="G255" s="361"/>
      <c r="H255" s="361"/>
      <c r="I255" s="362"/>
      <c r="J255" s="276">
        <f t="shared" si="2"/>
        <v>25.87</v>
      </c>
    </row>
    <row r="256" spans="1:10" x14ac:dyDescent="0.3">
      <c r="A256" s="251"/>
      <c r="B256" s="90"/>
      <c r="C256" s="91"/>
      <c r="D256" s="86" t="s">
        <v>627</v>
      </c>
      <c r="E256" s="91"/>
      <c r="F256" s="360">
        <v>6.7</v>
      </c>
      <c r="G256" s="361"/>
      <c r="H256" s="361"/>
      <c r="I256" s="362"/>
      <c r="J256" s="276">
        <f t="shared" si="2"/>
        <v>6.7</v>
      </c>
    </row>
    <row r="257" spans="1:10" x14ac:dyDescent="0.3">
      <c r="A257" s="251"/>
      <c r="B257" s="90"/>
      <c r="C257" s="91"/>
      <c r="D257" s="86" t="s">
        <v>737</v>
      </c>
      <c r="E257" s="91"/>
      <c r="F257" s="360">
        <v>6.7</v>
      </c>
      <c r="G257" s="361"/>
      <c r="H257" s="361"/>
      <c r="I257" s="362"/>
      <c r="J257" s="276">
        <f t="shared" si="2"/>
        <v>6.7</v>
      </c>
    </row>
    <row r="258" spans="1:10" x14ac:dyDescent="0.3">
      <c r="A258" s="251"/>
      <c r="B258" s="90"/>
      <c r="C258" s="91"/>
      <c r="D258" s="86" t="s">
        <v>628</v>
      </c>
      <c r="E258" s="91"/>
      <c r="F258" s="360">
        <v>21.53</v>
      </c>
      <c r="G258" s="361"/>
      <c r="H258" s="361"/>
      <c r="I258" s="362"/>
      <c r="J258" s="276">
        <f t="shared" si="2"/>
        <v>21.53</v>
      </c>
    </row>
    <row r="259" spans="1:10" x14ac:dyDescent="0.3">
      <c r="A259" s="251"/>
      <c r="B259" s="90"/>
      <c r="C259" s="91"/>
      <c r="D259" s="86" t="s">
        <v>934</v>
      </c>
      <c r="E259" s="91"/>
      <c r="F259" s="360">
        <v>6.69</v>
      </c>
      <c r="G259" s="361"/>
      <c r="H259" s="361"/>
      <c r="I259" s="362"/>
      <c r="J259" s="276">
        <f t="shared" si="2"/>
        <v>6.69</v>
      </c>
    </row>
    <row r="260" spans="1:10" x14ac:dyDescent="0.3">
      <c r="A260" s="251"/>
      <c r="B260" s="90"/>
      <c r="C260" s="91"/>
      <c r="D260" s="86" t="s">
        <v>741</v>
      </c>
      <c r="E260" s="91"/>
      <c r="F260" s="360">
        <v>3.5</v>
      </c>
      <c r="G260" s="361"/>
      <c r="H260" s="361"/>
      <c r="I260" s="362"/>
      <c r="J260" s="276">
        <f t="shared" si="2"/>
        <v>3.5</v>
      </c>
    </row>
    <row r="261" spans="1:10" x14ac:dyDescent="0.3">
      <c r="A261" s="251"/>
      <c r="B261" s="90"/>
      <c r="C261" s="91"/>
      <c r="D261" s="86" t="s">
        <v>935</v>
      </c>
      <c r="E261" s="91"/>
      <c r="F261" s="360">
        <v>3.5</v>
      </c>
      <c r="G261" s="361"/>
      <c r="H261" s="361"/>
      <c r="I261" s="362"/>
      <c r="J261" s="276">
        <f t="shared" si="2"/>
        <v>3.5</v>
      </c>
    </row>
    <row r="262" spans="1:10" x14ac:dyDescent="0.3">
      <c r="A262" s="251"/>
      <c r="B262" s="90"/>
      <c r="C262" s="91"/>
      <c r="D262" s="86" t="s">
        <v>936</v>
      </c>
      <c r="E262" s="91"/>
      <c r="F262" s="360">
        <v>3.5</v>
      </c>
      <c r="G262" s="361"/>
      <c r="H262" s="361"/>
      <c r="I262" s="362"/>
      <c r="J262" s="276">
        <f t="shared" si="2"/>
        <v>3.5</v>
      </c>
    </row>
    <row r="263" spans="1:10" x14ac:dyDescent="0.3">
      <c r="A263" s="251"/>
      <c r="B263" s="90"/>
      <c r="C263" s="91"/>
      <c r="D263" s="86" t="s">
        <v>937</v>
      </c>
      <c r="E263" s="91"/>
      <c r="F263" s="360">
        <v>3.5</v>
      </c>
      <c r="G263" s="361"/>
      <c r="H263" s="361"/>
      <c r="I263" s="362"/>
      <c r="J263" s="276">
        <f t="shared" si="2"/>
        <v>3.5</v>
      </c>
    </row>
    <row r="264" spans="1:10" x14ac:dyDescent="0.3">
      <c r="A264" s="251"/>
      <c r="B264" s="90"/>
      <c r="C264" s="91"/>
      <c r="D264" s="86" t="s">
        <v>748</v>
      </c>
      <c r="E264" s="91"/>
      <c r="F264" s="360">
        <v>10.75</v>
      </c>
      <c r="G264" s="361"/>
      <c r="H264" s="361"/>
      <c r="I264" s="362"/>
      <c r="J264" s="276">
        <f t="shared" si="2"/>
        <v>10.75</v>
      </c>
    </row>
    <row r="265" spans="1:10" x14ac:dyDescent="0.3">
      <c r="A265" s="251"/>
      <c r="B265" s="90"/>
      <c r="C265" s="91"/>
      <c r="D265" s="86" t="s">
        <v>1545</v>
      </c>
      <c r="E265" s="91"/>
      <c r="F265" s="360">
        <v>13.55</v>
      </c>
      <c r="G265" s="361"/>
      <c r="H265" s="361"/>
      <c r="I265" s="362"/>
      <c r="J265" s="276">
        <f t="shared" si="2"/>
        <v>13.55</v>
      </c>
    </row>
    <row r="266" spans="1:10" x14ac:dyDescent="0.3">
      <c r="A266" s="251"/>
      <c r="B266" s="90"/>
      <c r="C266" s="91"/>
      <c r="D266" s="86" t="s">
        <v>745</v>
      </c>
      <c r="E266" s="91"/>
      <c r="F266" s="360">
        <v>17.57</v>
      </c>
      <c r="G266" s="361"/>
      <c r="H266" s="361"/>
      <c r="I266" s="362"/>
      <c r="J266" s="276">
        <f t="shared" si="2"/>
        <v>17.57</v>
      </c>
    </row>
    <row r="267" spans="1:10" x14ac:dyDescent="0.3">
      <c r="A267" s="251"/>
      <c r="B267" s="90"/>
      <c r="C267" s="91"/>
      <c r="D267" s="86" t="s">
        <v>1544</v>
      </c>
      <c r="E267" s="91"/>
      <c r="F267" s="360">
        <v>17.57</v>
      </c>
      <c r="G267" s="361"/>
      <c r="H267" s="361"/>
      <c r="I267" s="362"/>
      <c r="J267" s="276">
        <f t="shared" si="2"/>
        <v>17.57</v>
      </c>
    </row>
    <row r="268" spans="1:10" x14ac:dyDescent="0.3">
      <c r="A268" s="248"/>
      <c r="B268" s="83"/>
      <c r="C268" s="84"/>
      <c r="D268" s="85" t="s">
        <v>1468</v>
      </c>
      <c r="E268" s="84"/>
      <c r="F268" s="354">
        <f>3.5*1.1</f>
        <v>3.8500000000000005</v>
      </c>
      <c r="G268" s="369"/>
      <c r="H268" s="369"/>
      <c r="I268" s="355"/>
      <c r="J268" s="80">
        <f>F268</f>
        <v>3.8500000000000005</v>
      </c>
    </row>
    <row r="269" spans="1:10" ht="15" thickBot="1" x14ac:dyDescent="0.35">
      <c r="A269" s="364" t="s">
        <v>64</v>
      </c>
      <c r="B269" s="365"/>
      <c r="C269" s="365"/>
      <c r="D269" s="365"/>
      <c r="E269" s="365"/>
      <c r="F269" s="365"/>
      <c r="G269" s="365"/>
      <c r="H269" s="365"/>
      <c r="I269" s="366"/>
      <c r="J269" s="266">
        <f>SUM(J204:J268)</f>
        <v>734.38999999999976</v>
      </c>
    </row>
    <row r="270" spans="1:10" ht="28.8" x14ac:dyDescent="0.3">
      <c r="A270" s="247" t="str">
        <f>ORÇAMENTO!A60</f>
        <v>5.12</v>
      </c>
      <c r="B270" s="74" t="str">
        <f>ORÇAMENTO!B60</f>
        <v>GOINFRA</v>
      </c>
      <c r="C270" s="74">
        <f>ORÇAMENTO!C60</f>
        <v>61102</v>
      </c>
      <c r="D270" s="86" t="str">
        <f>ORÇAMENTO!D60</f>
        <v>PISO EM LAJE PRÉ-MOLDADA INC. CAPEAMENTO/FERR.DISTRIB./ESCORAMENTO E FORMA/DESFORMA</v>
      </c>
      <c r="E270" s="74" t="str">
        <f>ORÇAMENTO!F60</f>
        <v xml:space="preserve">m2 </v>
      </c>
      <c r="F270" s="377" t="s">
        <v>115</v>
      </c>
      <c r="G270" s="378"/>
      <c r="H270" s="371" t="s">
        <v>117</v>
      </c>
      <c r="I270" s="373"/>
      <c r="J270" s="76" t="s">
        <v>88</v>
      </c>
    </row>
    <row r="271" spans="1:10" x14ac:dyDescent="0.3">
      <c r="A271" s="250"/>
      <c r="B271" s="92"/>
      <c r="C271" s="89"/>
      <c r="D271" s="218" t="s">
        <v>1454</v>
      </c>
      <c r="E271" s="89"/>
      <c r="F271" s="358">
        <v>2.5</v>
      </c>
      <c r="G271" s="359"/>
      <c r="H271" s="354">
        <v>2.5</v>
      </c>
      <c r="I271" s="355"/>
      <c r="J271" s="76">
        <f>H271*F271</f>
        <v>6.25</v>
      </c>
    </row>
    <row r="272" spans="1:10" ht="15" thickBot="1" x14ac:dyDescent="0.35">
      <c r="A272" s="364" t="s">
        <v>64</v>
      </c>
      <c r="B272" s="365"/>
      <c r="C272" s="365"/>
      <c r="D272" s="365"/>
      <c r="E272" s="365"/>
      <c r="F272" s="365"/>
      <c r="G272" s="365"/>
      <c r="H272" s="365"/>
      <c r="I272" s="366"/>
      <c r="J272" s="76">
        <f>SUM(J271:J271)</f>
        <v>6.25</v>
      </c>
    </row>
    <row r="273" spans="1:10" ht="28.8" x14ac:dyDescent="0.3">
      <c r="A273" s="247" t="str">
        <f>ORÇAMENTO!A61</f>
        <v>5.13</v>
      </c>
      <c r="B273" s="74" t="str">
        <f>ORÇAMENTO!B61</f>
        <v>GOINFRA</v>
      </c>
      <c r="C273" s="74">
        <f>ORÇAMENTO!C61</f>
        <v>61130</v>
      </c>
      <c r="D273" s="86" t="str">
        <f>ORÇAMENTO!D61</f>
        <v>MURO ARRIMO PADRÃO GOINFRA EM CANALETA SEM REVESTIMENTO-(COM ALTURA ATÉ 2,50M)-INCLUSO FUNDAÇÃO</v>
      </c>
      <c r="E273" s="74" t="str">
        <f>ORÇAMENTO!F61</f>
        <v xml:space="preserve">m2 </v>
      </c>
      <c r="F273" s="88" t="s">
        <v>89</v>
      </c>
      <c r="G273" s="88" t="s">
        <v>118</v>
      </c>
      <c r="H273" s="371" t="s">
        <v>101</v>
      </c>
      <c r="I273" s="373"/>
      <c r="J273" s="76" t="s">
        <v>88</v>
      </c>
    </row>
    <row r="274" spans="1:10" x14ac:dyDescent="0.3">
      <c r="A274" s="250"/>
      <c r="B274" s="92"/>
      <c r="C274" s="89"/>
      <c r="D274" s="218" t="s">
        <v>1454</v>
      </c>
      <c r="E274" s="89"/>
      <c r="F274" s="230">
        <v>4</v>
      </c>
      <c r="G274" s="230">
        <v>2</v>
      </c>
      <c r="H274" s="354">
        <v>2.5</v>
      </c>
      <c r="I274" s="355"/>
      <c r="J274" s="76">
        <f>H274*G274*F274</f>
        <v>20</v>
      </c>
    </row>
    <row r="275" spans="1:10" ht="15" thickBot="1" x14ac:dyDescent="0.35">
      <c r="A275" s="364" t="s">
        <v>64</v>
      </c>
      <c r="B275" s="365"/>
      <c r="C275" s="365"/>
      <c r="D275" s="365"/>
      <c r="E275" s="365"/>
      <c r="F275" s="365"/>
      <c r="G275" s="365"/>
      <c r="H275" s="365"/>
      <c r="I275" s="366"/>
      <c r="J275" s="76">
        <f>SUM(J274:J274)</f>
        <v>20</v>
      </c>
    </row>
    <row r="276" spans="1:10" ht="28.8" x14ac:dyDescent="0.3">
      <c r="A276" s="247" t="str">
        <f>ORÇAMENTO!A62</f>
        <v>5.14</v>
      </c>
      <c r="B276" s="73" t="str">
        <f>ORÇAMENTO!B62</f>
        <v>SINAPI</v>
      </c>
      <c r="C276" s="74">
        <f>ORÇAMENTO!C62</f>
        <v>85662</v>
      </c>
      <c r="D276" s="86" t="str">
        <f>ORÇAMENTO!D62</f>
        <v>ARMACAO EM TELA DE ACO SOLDADA NERVURADA Q-92, ACO CA-60, 4,2MM, MALHA 15X15CM</v>
      </c>
      <c r="E276" s="74" t="str">
        <f>ORÇAMENTO!F62</f>
        <v>m2</v>
      </c>
      <c r="F276" s="88" t="s">
        <v>89</v>
      </c>
      <c r="G276" s="88" t="s">
        <v>555</v>
      </c>
      <c r="H276" s="371" t="s">
        <v>101</v>
      </c>
      <c r="I276" s="373"/>
      <c r="J276" s="76" t="s">
        <v>88</v>
      </c>
    </row>
    <row r="277" spans="1:10" x14ac:dyDescent="0.3">
      <c r="A277" s="251"/>
      <c r="B277" s="90"/>
      <c r="C277" s="91"/>
      <c r="D277" s="86" t="s">
        <v>603</v>
      </c>
      <c r="E277" s="91"/>
      <c r="F277" s="88">
        <v>2</v>
      </c>
      <c r="G277" s="88">
        <v>12.65</v>
      </c>
      <c r="H277" s="354">
        <v>25.1</v>
      </c>
      <c r="I277" s="355"/>
      <c r="J277" s="76">
        <f>H277*G277*F277</f>
        <v>635.03000000000009</v>
      </c>
    </row>
    <row r="278" spans="1:10" x14ac:dyDescent="0.3">
      <c r="A278" s="251"/>
      <c r="B278" s="90"/>
      <c r="C278" s="91"/>
      <c r="D278" s="86" t="s">
        <v>956</v>
      </c>
      <c r="E278" s="91"/>
      <c r="F278" s="88">
        <v>2</v>
      </c>
      <c r="G278" s="88">
        <v>25.1</v>
      </c>
      <c r="H278" s="354">
        <v>1.25</v>
      </c>
      <c r="I278" s="355"/>
      <c r="J278" s="76">
        <f>H278*G278*F278</f>
        <v>62.75</v>
      </c>
    </row>
    <row r="279" spans="1:10" x14ac:dyDescent="0.3">
      <c r="A279" s="251"/>
      <c r="B279" s="90"/>
      <c r="C279" s="91"/>
      <c r="D279" s="86" t="s">
        <v>956</v>
      </c>
      <c r="E279" s="91"/>
      <c r="F279" s="88">
        <v>2</v>
      </c>
      <c r="G279" s="88">
        <v>12.65</v>
      </c>
      <c r="H279" s="354">
        <v>1.25</v>
      </c>
      <c r="I279" s="355"/>
      <c r="J279" s="76">
        <f>H279*G279*F279</f>
        <v>31.625</v>
      </c>
    </row>
    <row r="280" spans="1:10" x14ac:dyDescent="0.3">
      <c r="A280" s="250"/>
      <c r="B280" s="92"/>
      <c r="C280" s="89"/>
      <c r="D280" s="218" t="s">
        <v>953</v>
      </c>
      <c r="E280" s="89"/>
      <c r="F280" s="230">
        <v>4</v>
      </c>
      <c r="G280" s="230">
        <v>1.2</v>
      </c>
      <c r="H280" s="354" t="s">
        <v>1237</v>
      </c>
      <c r="I280" s="355"/>
      <c r="J280" s="76">
        <f>(25.1+12.65)*G280*F280</f>
        <v>181.2</v>
      </c>
    </row>
    <row r="281" spans="1:10" ht="15" thickBot="1" x14ac:dyDescent="0.35">
      <c r="A281" s="364" t="s">
        <v>64</v>
      </c>
      <c r="B281" s="365"/>
      <c r="C281" s="365"/>
      <c r="D281" s="365"/>
      <c r="E281" s="365"/>
      <c r="F281" s="365"/>
      <c r="G281" s="365"/>
      <c r="H281" s="365"/>
      <c r="I281" s="366"/>
      <c r="J281" s="76">
        <f>SUM(J277:J280)</f>
        <v>910.60500000000002</v>
      </c>
    </row>
    <row r="282" spans="1:10" ht="15" thickBot="1" x14ac:dyDescent="0.35">
      <c r="A282" s="415" t="s">
        <v>29</v>
      </c>
      <c r="B282" s="416"/>
      <c r="C282" s="416"/>
      <c r="D282" s="416"/>
      <c r="E282" s="416"/>
      <c r="F282" s="416"/>
      <c r="G282" s="416"/>
      <c r="H282" s="416"/>
      <c r="I282" s="416"/>
      <c r="J282" s="417"/>
    </row>
    <row r="283" spans="1:10" x14ac:dyDescent="0.3">
      <c r="A283" s="249">
        <v>6</v>
      </c>
      <c r="B283" s="87" t="s">
        <v>25</v>
      </c>
      <c r="C283" s="81">
        <v>70000</v>
      </c>
      <c r="D283" s="400" t="s">
        <v>30</v>
      </c>
      <c r="E283" s="401"/>
      <c r="F283" s="401"/>
      <c r="G283" s="401"/>
      <c r="H283" s="401"/>
      <c r="I283" s="401"/>
      <c r="J283" s="402"/>
    </row>
    <row r="284" spans="1:10" x14ac:dyDescent="0.3">
      <c r="A284" s="247" t="str">
        <f>ORÇAMENTO!A66</f>
        <v>6.1</v>
      </c>
      <c r="B284" s="73" t="str">
        <f>ORÇAMENTO!B66</f>
        <v>GOINFRA</v>
      </c>
      <c r="C284" s="74">
        <f>ORÇAMENTO!C66</f>
        <v>70422</v>
      </c>
      <c r="D284" s="75" t="str">
        <f>ORÇAMENTO!D66</f>
        <v xml:space="preserve">BUCHA E ARRUELA METALICA DIAM. 1" </v>
      </c>
      <c r="E284" s="74" t="str">
        <f>ORÇAMENTO!F66</f>
        <v>pr</v>
      </c>
      <c r="F284" s="354">
        <f>ORÇAMENTO!E66</f>
        <v>10</v>
      </c>
      <c r="G284" s="369"/>
      <c r="H284" s="369"/>
      <c r="I284" s="369"/>
      <c r="J284" s="370"/>
    </row>
    <row r="285" spans="1:10" x14ac:dyDescent="0.3">
      <c r="A285" s="247" t="str">
        <f>ORÇAMENTO!A67</f>
        <v>6.2</v>
      </c>
      <c r="B285" s="73" t="str">
        <f>ORÇAMENTO!B67</f>
        <v>GOINFRA</v>
      </c>
      <c r="C285" s="74">
        <f>ORÇAMENTO!C67</f>
        <v>1175</v>
      </c>
      <c r="D285" s="75" t="str">
        <f>ORÇAMENTO!D67</f>
        <v xml:space="preserve">DISJUNTOR TRIPOLAR DE 60 A 100-A </v>
      </c>
      <c r="E285" s="74" t="str">
        <f>ORÇAMENTO!F67</f>
        <v>und.</v>
      </c>
      <c r="F285" s="354">
        <f>ORÇAMENTO!E67</f>
        <v>2</v>
      </c>
      <c r="G285" s="369"/>
      <c r="H285" s="369"/>
      <c r="I285" s="369"/>
      <c r="J285" s="370"/>
    </row>
    <row r="286" spans="1:10" x14ac:dyDescent="0.3">
      <c r="A286" s="247" t="str">
        <f>ORÇAMENTO!A68</f>
        <v>6.3</v>
      </c>
      <c r="B286" s="73" t="str">
        <f>ORÇAMENTO!B68</f>
        <v>GOINFRA</v>
      </c>
      <c r="C286" s="74">
        <f>ORÇAMENTO!C68</f>
        <v>70390</v>
      </c>
      <c r="D286" s="75" t="str">
        <f>ORÇAMENTO!D68</f>
        <v xml:space="preserve">BUCHA DE NYLON S-5 </v>
      </c>
      <c r="E286" s="74" t="str">
        <f>ORÇAMENTO!F68</f>
        <v>und.</v>
      </c>
      <c r="F286" s="354">
        <f>ORÇAMENTO!E68</f>
        <v>1</v>
      </c>
      <c r="G286" s="369"/>
      <c r="H286" s="369"/>
      <c r="I286" s="369"/>
      <c r="J286" s="370"/>
    </row>
    <row r="287" spans="1:10" x14ac:dyDescent="0.3">
      <c r="A287" s="247" t="str">
        <f>ORÇAMENTO!A69</f>
        <v>6.4</v>
      </c>
      <c r="B287" s="73" t="str">
        <f>ORÇAMENTO!B69</f>
        <v>GOINFRA</v>
      </c>
      <c r="C287" s="74">
        <f>ORÇAMENTO!C69</f>
        <v>70513</v>
      </c>
      <c r="D287" s="75" t="str">
        <f>ORÇAMENTO!D69</f>
        <v xml:space="preserve">CABO EPR/XLPE (90°C) 1 KV - 50 MM2 </v>
      </c>
      <c r="E287" s="74" t="str">
        <f>ORÇAMENTO!F69</f>
        <v>m</v>
      </c>
      <c r="F287" s="354">
        <f>ORÇAMENTO!E69</f>
        <v>66.600000000000009</v>
      </c>
      <c r="G287" s="369"/>
      <c r="H287" s="369"/>
      <c r="I287" s="369"/>
      <c r="J287" s="370"/>
    </row>
    <row r="288" spans="1:10" x14ac:dyDescent="0.3">
      <c r="A288" s="247" t="str">
        <f>ORÇAMENTO!A70</f>
        <v>6.5</v>
      </c>
      <c r="B288" s="73" t="str">
        <f>ORÇAMENTO!B70</f>
        <v>GOINFRA</v>
      </c>
      <c r="C288" s="74">
        <f>ORÇAMENTO!C70</f>
        <v>70515</v>
      </c>
      <c r="D288" s="75" t="str">
        <f>ORÇAMENTO!D70</f>
        <v xml:space="preserve">CABO EPR/XLPE (90°C) 1 KV - 95 MM2 </v>
      </c>
      <c r="E288" s="74" t="str">
        <f>ORÇAMENTO!F70</f>
        <v>m</v>
      </c>
      <c r="F288" s="354">
        <f>ORÇAMENTO!E70</f>
        <v>2.7</v>
      </c>
      <c r="G288" s="369"/>
      <c r="H288" s="369"/>
      <c r="I288" s="369"/>
      <c r="J288" s="370"/>
    </row>
    <row r="289" spans="1:10" x14ac:dyDescent="0.3">
      <c r="A289" s="247" t="str">
        <f>ORÇAMENTO!A71</f>
        <v>6.6</v>
      </c>
      <c r="B289" s="73" t="str">
        <f>ORÇAMENTO!B71</f>
        <v>GOINFRA</v>
      </c>
      <c r="C289" s="74">
        <f>ORÇAMENTO!C71</f>
        <v>70571</v>
      </c>
      <c r="D289" s="75" t="str">
        <f>ORÇAMENTO!D71</f>
        <v>CABO ISOLADO PVC 750 V, No. 16 MM2</v>
      </c>
      <c r="E289" s="74" t="str">
        <f>ORÇAMENTO!F71</f>
        <v>m</v>
      </c>
      <c r="F289" s="354">
        <f>ORÇAMENTO!E71</f>
        <v>2763.8</v>
      </c>
      <c r="G289" s="369"/>
      <c r="H289" s="369"/>
      <c r="I289" s="369"/>
      <c r="J289" s="370"/>
    </row>
    <row r="290" spans="1:10" x14ac:dyDescent="0.3">
      <c r="A290" s="247" t="str">
        <f>ORÇAMENTO!A72</f>
        <v>6.7</v>
      </c>
      <c r="B290" s="73" t="str">
        <f>ORÇAMENTO!B72</f>
        <v>GOINFRA</v>
      </c>
      <c r="C290" s="74">
        <f>ORÇAMENTO!C72</f>
        <v>70572</v>
      </c>
      <c r="D290" s="75" t="str">
        <f>ORÇAMENTO!D72</f>
        <v>CABO ISOLADO PVC 750 V, No. 25 MM2</v>
      </c>
      <c r="E290" s="74" t="str">
        <f>ORÇAMENTO!F72</f>
        <v>m</v>
      </c>
      <c r="F290" s="354">
        <f>ORÇAMENTO!E72</f>
        <v>265.39999999999998</v>
      </c>
      <c r="G290" s="369"/>
      <c r="H290" s="369"/>
      <c r="I290" s="369"/>
      <c r="J290" s="370"/>
    </row>
    <row r="291" spans="1:10" x14ac:dyDescent="0.3">
      <c r="A291" s="247" t="str">
        <f>ORÇAMENTO!A73</f>
        <v>6.8</v>
      </c>
      <c r="B291" s="73" t="str">
        <f>ORÇAMENTO!B73</f>
        <v>GOINFRA</v>
      </c>
      <c r="C291" s="74">
        <f>ORÇAMENTO!C73</f>
        <v>70573</v>
      </c>
      <c r="D291" s="75" t="str">
        <f>ORÇAMENTO!D73</f>
        <v xml:space="preserve">CABO ISOLADO PVC 750 V, No. 35 MM2 </v>
      </c>
      <c r="E291" s="74" t="str">
        <f>ORÇAMENTO!F73</f>
        <v>m</v>
      </c>
      <c r="F291" s="354">
        <f>ORÇAMENTO!E73</f>
        <v>1436.5</v>
      </c>
      <c r="G291" s="369"/>
      <c r="H291" s="369"/>
      <c r="I291" s="369"/>
      <c r="J291" s="370"/>
    </row>
    <row r="292" spans="1:10" x14ac:dyDescent="0.3">
      <c r="A292" s="247" t="str">
        <f>ORÇAMENTO!A74</f>
        <v>6.9</v>
      </c>
      <c r="B292" s="73" t="str">
        <f>ORÇAMENTO!B74</f>
        <v>GOINFRA</v>
      </c>
      <c r="C292" s="74">
        <f>ORÇAMENTO!C74</f>
        <v>70589</v>
      </c>
      <c r="D292" s="75" t="str">
        <f>ORÇAMENTO!D74</f>
        <v>CABO PVC (70ºC) 1 KV No. 70 MM2</v>
      </c>
      <c r="E292" s="74" t="str">
        <f>ORÇAMENTO!F74</f>
        <v>m</v>
      </c>
      <c r="F292" s="354">
        <f>ORÇAMENTO!E74</f>
        <v>75.5</v>
      </c>
      <c r="G292" s="369"/>
      <c r="H292" s="369"/>
      <c r="I292" s="369"/>
      <c r="J292" s="370"/>
    </row>
    <row r="293" spans="1:10" x14ac:dyDescent="0.3">
      <c r="A293" s="247" t="str">
        <f>ORÇAMENTO!A75</f>
        <v>6.10</v>
      </c>
      <c r="B293" s="73" t="str">
        <f>ORÇAMENTO!B75</f>
        <v>GOINFRA</v>
      </c>
      <c r="C293" s="74">
        <f>ORÇAMENTO!C75</f>
        <v>70681</v>
      </c>
      <c r="D293" s="75" t="str">
        <f>ORÇAMENTO!D75</f>
        <v xml:space="preserve">CAIXA METALICA OCTOGONAL FUNDO MOVEL, SIMPLES 2" </v>
      </c>
      <c r="E293" s="74" t="str">
        <f>ORÇAMENTO!F75</f>
        <v>und.</v>
      </c>
      <c r="F293" s="354">
        <f>ORÇAMENTO!E75</f>
        <v>211</v>
      </c>
      <c r="G293" s="369"/>
      <c r="H293" s="369"/>
      <c r="I293" s="369"/>
      <c r="J293" s="370"/>
    </row>
    <row r="294" spans="1:10" x14ac:dyDescent="0.3">
      <c r="A294" s="247" t="str">
        <f>ORÇAMENTO!A76</f>
        <v>6.11</v>
      </c>
      <c r="B294" s="73" t="str">
        <f>ORÇAMENTO!B76</f>
        <v>GOINFRA</v>
      </c>
      <c r="C294" s="74">
        <f>ORÇAMENTO!C76</f>
        <v>70691</v>
      </c>
      <c r="D294" s="75" t="str">
        <f>ORÇAMENTO!D76</f>
        <v xml:space="preserve">CAIXA METALICA RET. 4" X 2" X 2" </v>
      </c>
      <c r="E294" s="74" t="str">
        <f>ORÇAMENTO!F76</f>
        <v>und.</v>
      </c>
      <c r="F294" s="354">
        <f>ORÇAMENTO!E76</f>
        <v>307</v>
      </c>
      <c r="G294" s="369"/>
      <c r="H294" s="369"/>
      <c r="I294" s="369"/>
      <c r="J294" s="370"/>
    </row>
    <row r="295" spans="1:10" x14ac:dyDescent="0.3">
      <c r="A295" s="247" t="str">
        <f>ORÇAMENTO!A77</f>
        <v>6.12</v>
      </c>
      <c r="B295" s="73" t="str">
        <f>ORÇAMENTO!B77</f>
        <v>GOINFRA</v>
      </c>
      <c r="C295" s="74">
        <f>ORÇAMENTO!C77</f>
        <v>70692</v>
      </c>
      <c r="D295" s="75" t="str">
        <f>ORÇAMENTO!D77</f>
        <v xml:space="preserve">CAIXA METALICA QUADRADA 4"X4"X2" </v>
      </c>
      <c r="E295" s="74" t="str">
        <f>ORÇAMENTO!F77</f>
        <v>und.</v>
      </c>
      <c r="F295" s="354">
        <f>ORÇAMENTO!E77</f>
        <v>2</v>
      </c>
      <c r="G295" s="369"/>
      <c r="H295" s="369"/>
      <c r="I295" s="369"/>
      <c r="J295" s="370"/>
    </row>
    <row r="296" spans="1:10" x14ac:dyDescent="0.3">
      <c r="A296" s="247" t="str">
        <f>ORÇAMENTO!A78</f>
        <v>6.13</v>
      </c>
      <c r="B296" s="73" t="str">
        <f>ORÇAMENTO!B78</f>
        <v>GOINFRA</v>
      </c>
      <c r="C296" s="74">
        <f>ORÇAMENTO!C78</f>
        <v>70700</v>
      </c>
      <c r="D296" s="75" t="str">
        <f>ORÇAMENTO!D78</f>
        <v xml:space="preserve">CAIXA PARA QUADRO DE COMANDO METÁLICA DE SOBREPOR 40X30X20 CM </v>
      </c>
      <c r="E296" s="74" t="str">
        <f>ORÇAMENTO!F78</f>
        <v>und.</v>
      </c>
      <c r="F296" s="354">
        <f>ORÇAMENTO!E78</f>
        <v>2</v>
      </c>
      <c r="G296" s="369"/>
      <c r="H296" s="369"/>
      <c r="I296" s="369"/>
      <c r="J296" s="370"/>
    </row>
    <row r="297" spans="1:10" x14ac:dyDescent="0.3">
      <c r="A297" s="247" t="str">
        <f>ORÇAMENTO!A79</f>
        <v>6.14</v>
      </c>
      <c r="B297" s="73" t="str">
        <f>ORÇAMENTO!B79</f>
        <v>GOINFRA</v>
      </c>
      <c r="C297" s="74">
        <f>ORÇAMENTO!C79</f>
        <v>70720</v>
      </c>
      <c r="D297" s="75" t="str">
        <f>ORÇAMENTO!D79</f>
        <v xml:space="preserve">CAIXA METÁLICA PARA MEDIDOR POLIFÁSICO PADRÃO ENEL 500X380X166MM </v>
      </c>
      <c r="E297" s="74" t="str">
        <f>ORÇAMENTO!F79</f>
        <v>und.</v>
      </c>
      <c r="F297" s="354">
        <f>ORÇAMENTO!E79</f>
        <v>1</v>
      </c>
      <c r="G297" s="369"/>
      <c r="H297" s="369"/>
      <c r="I297" s="369"/>
      <c r="J297" s="370"/>
    </row>
    <row r="298" spans="1:10" x14ac:dyDescent="0.3">
      <c r="A298" s="247" t="str">
        <f>ORÇAMENTO!A80</f>
        <v>6.15</v>
      </c>
      <c r="B298" s="73" t="str">
        <f>ORÇAMENTO!B80</f>
        <v>GOINFRA</v>
      </c>
      <c r="C298" s="74">
        <f>ORÇAMENTO!C80</f>
        <v>70929</v>
      </c>
      <c r="D298" s="75" t="str">
        <f>ORÇAMENTO!D80</f>
        <v>CONDULETE METÁLICO - CAIXA COM 5 ENTRADAS</v>
      </c>
      <c r="E298" s="74" t="str">
        <f>ORÇAMENTO!F80</f>
        <v>und.</v>
      </c>
      <c r="F298" s="354">
        <f>ORÇAMENTO!E80</f>
        <v>1</v>
      </c>
      <c r="G298" s="369"/>
      <c r="H298" s="369"/>
      <c r="I298" s="369"/>
      <c r="J298" s="370"/>
    </row>
    <row r="299" spans="1:10" x14ac:dyDescent="0.3">
      <c r="A299" s="247" t="str">
        <f>ORÇAMENTO!A81</f>
        <v>6.16</v>
      </c>
      <c r="B299" s="73" t="str">
        <f>ORÇAMENTO!B81</f>
        <v>GOINFRA</v>
      </c>
      <c r="C299" s="74">
        <f>ORÇAMENTO!C81</f>
        <v>71142</v>
      </c>
      <c r="D299" s="75" t="str">
        <f>ORÇAMENTO!D81</f>
        <v xml:space="preserve"> CURVA DE 90 GRAUS DE PVC RIGIDO DIAM. 1" </v>
      </c>
      <c r="E299" s="74" t="str">
        <f>ORÇAMENTO!F81</f>
        <v>und.</v>
      </c>
      <c r="F299" s="354">
        <f>ORÇAMENTO!E81</f>
        <v>6</v>
      </c>
      <c r="G299" s="369"/>
      <c r="H299" s="369"/>
      <c r="I299" s="369"/>
      <c r="J299" s="370"/>
    </row>
    <row r="300" spans="1:10" x14ac:dyDescent="0.3">
      <c r="A300" s="247" t="str">
        <f>ORÇAMENTO!A82</f>
        <v>6.17</v>
      </c>
      <c r="B300" s="73" t="str">
        <f>ORÇAMENTO!B82</f>
        <v>GOINFRA</v>
      </c>
      <c r="C300" s="74">
        <f>ORÇAMENTO!C82</f>
        <v>71171</v>
      </c>
      <c r="D300" s="75" t="str">
        <f>ORÇAMENTO!D82</f>
        <v xml:space="preserve">DISJUNTOR MONOPOLAR DE 10 A 32-A </v>
      </c>
      <c r="E300" s="74" t="str">
        <f>ORÇAMENTO!F82</f>
        <v>und.</v>
      </c>
      <c r="F300" s="354">
        <f>ORÇAMENTO!E82</f>
        <v>77</v>
      </c>
      <c r="G300" s="369"/>
      <c r="H300" s="369"/>
      <c r="I300" s="369"/>
      <c r="J300" s="370"/>
    </row>
    <row r="301" spans="1:10" x14ac:dyDescent="0.3">
      <c r="A301" s="247" t="str">
        <f>ORÇAMENTO!A83</f>
        <v>6.18</v>
      </c>
      <c r="B301" s="73" t="str">
        <f>ORÇAMENTO!B83</f>
        <v>GOINFRA</v>
      </c>
      <c r="C301" s="74">
        <f>ORÇAMENTO!C83</f>
        <v>71173</v>
      </c>
      <c r="D301" s="75" t="str">
        <f>ORÇAMENTO!D83</f>
        <v xml:space="preserve">DISJUNTOR TRIPOLAR DE 10 A 35-A </v>
      </c>
      <c r="E301" s="74" t="str">
        <f>ORÇAMENTO!F83</f>
        <v>und.</v>
      </c>
      <c r="F301" s="354">
        <f>ORÇAMENTO!E83</f>
        <v>17</v>
      </c>
      <c r="G301" s="369"/>
      <c r="H301" s="369"/>
      <c r="I301" s="369"/>
      <c r="J301" s="370"/>
    </row>
    <row r="302" spans="1:10" x14ac:dyDescent="0.3">
      <c r="A302" s="247" t="str">
        <f>ORÇAMENTO!A84</f>
        <v>6.19</v>
      </c>
      <c r="B302" s="73" t="str">
        <f>ORÇAMENTO!B84</f>
        <v>GOINFRA</v>
      </c>
      <c r="C302" s="74">
        <f>ORÇAMENTO!C84</f>
        <v>71174</v>
      </c>
      <c r="D302" s="75" t="str">
        <f>ORÇAMENTO!D84</f>
        <v xml:space="preserve">DISJUNTOR TRIPOLAR 40 A 50A </v>
      </c>
      <c r="E302" s="74" t="str">
        <f>ORÇAMENTO!F84</f>
        <v>und.</v>
      </c>
      <c r="F302" s="354">
        <f>ORÇAMENTO!E84</f>
        <v>1</v>
      </c>
      <c r="G302" s="369"/>
      <c r="H302" s="369"/>
      <c r="I302" s="369"/>
      <c r="J302" s="370"/>
    </row>
    <row r="303" spans="1:10" x14ac:dyDescent="0.3">
      <c r="A303" s="247" t="str">
        <f>ORÇAMENTO!A85</f>
        <v>6.20</v>
      </c>
      <c r="B303" s="73" t="str">
        <f>ORÇAMENTO!B85</f>
        <v>GOINFRA</v>
      </c>
      <c r="C303" s="74">
        <f>ORÇAMENTO!C85</f>
        <v>71176</v>
      </c>
      <c r="D303" s="75" t="str">
        <f>ORÇAMENTO!D85</f>
        <v xml:space="preserve">DISJUNTOR TRIPOLAR DE 125-A </v>
      </c>
      <c r="E303" s="74" t="str">
        <f>ORÇAMENTO!F85</f>
        <v>und.</v>
      </c>
      <c r="F303" s="354">
        <f>ORÇAMENTO!E85</f>
        <v>1</v>
      </c>
      <c r="G303" s="369"/>
      <c r="H303" s="369"/>
      <c r="I303" s="369"/>
      <c r="J303" s="370"/>
    </row>
    <row r="304" spans="1:10" x14ac:dyDescent="0.3">
      <c r="A304" s="247" t="str">
        <f>ORÇAMENTO!A86</f>
        <v>6.21</v>
      </c>
      <c r="B304" s="73" t="str">
        <f>ORÇAMENTO!B86</f>
        <v>GOINFRA</v>
      </c>
      <c r="C304" s="74">
        <f>ORÇAMENTO!C86</f>
        <v>71180</v>
      </c>
      <c r="D304" s="75" t="str">
        <f>ORÇAMENTO!D86</f>
        <v>DISJUNTOR TRIPOLAR DE 250-A</v>
      </c>
      <c r="E304" s="74" t="str">
        <f>ORÇAMENTO!F86</f>
        <v>und.</v>
      </c>
      <c r="F304" s="354">
        <f>ORÇAMENTO!E86</f>
        <v>1</v>
      </c>
      <c r="G304" s="369"/>
      <c r="H304" s="369"/>
      <c r="I304" s="369"/>
      <c r="J304" s="370"/>
    </row>
    <row r="305" spans="1:10" x14ac:dyDescent="0.3">
      <c r="A305" s="247" t="str">
        <f>ORÇAMENTO!A87</f>
        <v>6.22</v>
      </c>
      <c r="B305" s="73" t="str">
        <f>ORÇAMENTO!B87</f>
        <v>GOINFRA</v>
      </c>
      <c r="C305" s="74">
        <f>ORÇAMENTO!C87</f>
        <v>71184</v>
      </c>
      <c r="D305" s="75" t="str">
        <f>ORÇAMENTO!D87</f>
        <v xml:space="preserve">DISPOSITIVO DE PROTEÇÃO CONTRA SURTOS (D.P.S.) 275V DE 8 A 40KA </v>
      </c>
      <c r="E305" s="74" t="str">
        <f>ORÇAMENTO!F87</f>
        <v>und.</v>
      </c>
      <c r="F305" s="354">
        <f>ORÇAMENTO!E87</f>
        <v>28</v>
      </c>
      <c r="G305" s="369"/>
      <c r="H305" s="369"/>
      <c r="I305" s="369"/>
      <c r="J305" s="370"/>
    </row>
    <row r="306" spans="1:10" x14ac:dyDescent="0.3">
      <c r="A306" s="247" t="str">
        <f>ORÇAMENTO!A88</f>
        <v>6.23</v>
      </c>
      <c r="B306" s="73" t="str">
        <f>ORÇAMENTO!B88</f>
        <v>GOINFRA</v>
      </c>
      <c r="C306" s="74">
        <f>ORÇAMENTO!C88</f>
        <v>71193</v>
      </c>
      <c r="D306" s="75" t="str">
        <f>ORÇAMENTO!D88</f>
        <v xml:space="preserve">ELETRODUTO PVC FLEXÍVEL - MANGUEIRA CORRUGADA LEVE - DIAM. 20MM </v>
      </c>
      <c r="E306" s="74" t="str">
        <f>ORÇAMENTO!F88</f>
        <v>m</v>
      </c>
      <c r="F306" s="354">
        <f>ORÇAMENTO!E88</f>
        <v>3240.1</v>
      </c>
      <c r="G306" s="369"/>
      <c r="H306" s="369"/>
      <c r="I306" s="369"/>
      <c r="J306" s="370"/>
    </row>
    <row r="307" spans="1:10" x14ac:dyDescent="0.3">
      <c r="A307" s="247" t="str">
        <f>ORÇAMENTO!A89</f>
        <v>6.24</v>
      </c>
      <c r="B307" s="73" t="str">
        <f>ORÇAMENTO!B89</f>
        <v>GOINFRA</v>
      </c>
      <c r="C307" s="74">
        <f>ORÇAMENTO!C89</f>
        <v>71194</v>
      </c>
      <c r="D307" s="75" t="str">
        <f>ORÇAMENTO!D89</f>
        <v xml:space="preserve">ELETRODUTO PVC FLEXÍVEL - MANGUEIRA CORRUGADA LEVE - DIAM. 25MM </v>
      </c>
      <c r="E307" s="74" t="str">
        <f>ORÇAMENTO!F89</f>
        <v>m</v>
      </c>
      <c r="F307" s="354">
        <f>ORÇAMENTO!E89</f>
        <v>3.6</v>
      </c>
      <c r="G307" s="369"/>
      <c r="H307" s="369"/>
      <c r="I307" s="369"/>
      <c r="J307" s="370"/>
    </row>
    <row r="308" spans="1:10" x14ac:dyDescent="0.3">
      <c r="A308" s="247" t="str">
        <f>ORÇAMENTO!A90</f>
        <v>6.25</v>
      </c>
      <c r="B308" s="73" t="str">
        <f>ORÇAMENTO!B90</f>
        <v>GOINFRA</v>
      </c>
      <c r="C308" s="74">
        <f>ORÇAMENTO!C90</f>
        <v>71204</v>
      </c>
      <c r="D308" s="75" t="str">
        <f>ORÇAMENTO!D90</f>
        <v>ELETRODUTO DE PVC RIGIDO DIAMETRO 1.1/4"</v>
      </c>
      <c r="E308" s="74" t="str">
        <f>ORÇAMENTO!F90</f>
        <v>m</v>
      </c>
      <c r="F308" s="354">
        <f>ORÇAMENTO!E90</f>
        <v>1</v>
      </c>
      <c r="G308" s="369"/>
      <c r="H308" s="369"/>
      <c r="I308" s="369"/>
      <c r="J308" s="370"/>
    </row>
    <row r="309" spans="1:10" x14ac:dyDescent="0.3">
      <c r="A309" s="247" t="str">
        <f>ORÇAMENTO!A91</f>
        <v>6.26</v>
      </c>
      <c r="B309" s="73" t="str">
        <f>ORÇAMENTO!B91</f>
        <v>GOINFRA</v>
      </c>
      <c r="C309" s="74">
        <f>ORÇAMENTO!C91</f>
        <v>71251</v>
      </c>
      <c r="D309" s="75" t="str">
        <f>ORÇAMENTO!D91</f>
        <v xml:space="preserve">ELETRODUTO EM AÇO ZINCADO DIÂMETRO 3/4" </v>
      </c>
      <c r="E309" s="74" t="str">
        <f>ORÇAMENTO!F91</f>
        <v>m</v>
      </c>
      <c r="F309" s="354">
        <f>ORÇAMENTO!E91</f>
        <v>1</v>
      </c>
      <c r="G309" s="369"/>
      <c r="H309" s="369"/>
      <c r="I309" s="369"/>
      <c r="J309" s="370"/>
    </row>
    <row r="310" spans="1:10" x14ac:dyDescent="0.3">
      <c r="A310" s="247" t="str">
        <f>ORÇAMENTO!A92</f>
        <v>6.27</v>
      </c>
      <c r="B310" s="73" t="str">
        <f>ORÇAMENTO!B92</f>
        <v>GOINFRA</v>
      </c>
      <c r="C310" s="74">
        <f>ORÇAMENTO!C92</f>
        <v>71291</v>
      </c>
      <c r="D310" s="75" t="str">
        <f>ORÇAMENTO!D92</f>
        <v xml:space="preserve">FIO ISOLADO PVC 750 V, No. 2,5 MM2 </v>
      </c>
      <c r="E310" s="74" t="str">
        <f>ORÇAMENTO!F92</f>
        <v xml:space="preserve">m </v>
      </c>
      <c r="F310" s="354">
        <f>ORÇAMENTO!E92</f>
        <v>817.1</v>
      </c>
      <c r="G310" s="369"/>
      <c r="H310" s="369"/>
      <c r="I310" s="369"/>
      <c r="J310" s="370"/>
    </row>
    <row r="311" spans="1:10" x14ac:dyDescent="0.3">
      <c r="A311" s="247" t="str">
        <f>ORÇAMENTO!A93</f>
        <v>6.28</v>
      </c>
      <c r="B311" s="73" t="str">
        <f>ORÇAMENTO!B93</f>
        <v>GOINFRA</v>
      </c>
      <c r="C311" s="74">
        <f>ORÇAMENTO!C93</f>
        <v>71292</v>
      </c>
      <c r="D311" s="75" t="str">
        <f>ORÇAMENTO!D93</f>
        <v xml:space="preserve"> FIO ISOLADO PVC 750 V, No. 4 MM2 </v>
      </c>
      <c r="E311" s="74" t="str">
        <f>ORÇAMENTO!F93</f>
        <v xml:space="preserve">m </v>
      </c>
      <c r="F311" s="354">
        <f>ORÇAMENTO!E93</f>
        <v>4560.5</v>
      </c>
      <c r="G311" s="369"/>
      <c r="H311" s="369"/>
      <c r="I311" s="369"/>
      <c r="J311" s="370"/>
    </row>
    <row r="312" spans="1:10" x14ac:dyDescent="0.3">
      <c r="A312" s="247" t="str">
        <f>ORÇAMENTO!A94</f>
        <v>6.29</v>
      </c>
      <c r="B312" s="73" t="str">
        <f>ORÇAMENTO!B94</f>
        <v>GOINFRA</v>
      </c>
      <c r="C312" s="74">
        <f>ORÇAMENTO!C94</f>
        <v>71293</v>
      </c>
      <c r="D312" s="75" t="str">
        <f>ORÇAMENTO!D94</f>
        <v xml:space="preserve">FIO ISOLADO PVC 750 V, No. 6 MM2 </v>
      </c>
      <c r="E312" s="74" t="str">
        <f>ORÇAMENTO!F94</f>
        <v xml:space="preserve">m </v>
      </c>
      <c r="F312" s="354">
        <f>ORÇAMENTO!E94</f>
        <v>3128.9</v>
      </c>
      <c r="G312" s="369"/>
      <c r="H312" s="369"/>
      <c r="I312" s="369"/>
      <c r="J312" s="370"/>
    </row>
    <row r="313" spans="1:10" x14ac:dyDescent="0.3">
      <c r="A313" s="247" t="str">
        <f>ORÇAMENTO!A95</f>
        <v>6.30</v>
      </c>
      <c r="B313" s="73" t="str">
        <f>ORÇAMENTO!B95</f>
        <v>GOINFRA</v>
      </c>
      <c r="C313" s="74">
        <f>ORÇAMENTO!C95</f>
        <v>71294</v>
      </c>
      <c r="D313" s="75" t="str">
        <f>ORÇAMENTO!D95</f>
        <v xml:space="preserve">FIO ISOLADO PVC 750 V, No. 10 MM2 </v>
      </c>
      <c r="E313" s="74" t="str">
        <f>ORÇAMENTO!F95</f>
        <v>m</v>
      </c>
      <c r="F313" s="354">
        <f>ORÇAMENTO!E95</f>
        <v>2772.6</v>
      </c>
      <c r="G313" s="369"/>
      <c r="H313" s="369"/>
      <c r="I313" s="369"/>
      <c r="J313" s="370"/>
    </row>
    <row r="314" spans="1:10" x14ac:dyDescent="0.3">
      <c r="A314" s="247" t="str">
        <f>ORÇAMENTO!A96</f>
        <v>6.31</v>
      </c>
      <c r="B314" s="73" t="str">
        <f>ORÇAMENTO!B96</f>
        <v>GOINFRA</v>
      </c>
      <c r="C314" s="74">
        <f>ORÇAMENTO!C96</f>
        <v>71400</v>
      </c>
      <c r="D314" s="75" t="str">
        <f>ORÇAMENTO!D96</f>
        <v xml:space="preserve"> IGNITOR S-52 P/LÂMPADA V.MET.2000 W. </v>
      </c>
      <c r="E314" s="74" t="str">
        <f>ORÇAMENTO!F96</f>
        <v>und.</v>
      </c>
      <c r="F314" s="354">
        <f>ORÇAMENTO!E96</f>
        <v>34</v>
      </c>
      <c r="G314" s="369"/>
      <c r="H314" s="369"/>
      <c r="I314" s="369"/>
      <c r="J314" s="370"/>
    </row>
    <row r="315" spans="1:10" x14ac:dyDescent="0.3">
      <c r="A315" s="247" t="str">
        <f>ORÇAMENTO!A97</f>
        <v>6.32</v>
      </c>
      <c r="B315" s="73" t="str">
        <f>ORÇAMENTO!B97</f>
        <v>GOINFRA</v>
      </c>
      <c r="C315" s="74">
        <f>ORÇAMENTO!C97</f>
        <v>71411</v>
      </c>
      <c r="D315" s="75" t="str">
        <f>ORÇAMENTO!D97</f>
        <v>INTERRUPTOR 1 SEÇÃO (LINHA X OU EQUIVALENTE)</v>
      </c>
      <c r="E315" s="74" t="str">
        <f>ORÇAMENTO!F97</f>
        <v>und.</v>
      </c>
      <c r="F315" s="354">
        <f>ORÇAMENTO!E97</f>
        <v>42</v>
      </c>
      <c r="G315" s="369"/>
      <c r="H315" s="369"/>
      <c r="I315" s="369"/>
      <c r="J315" s="370"/>
    </row>
    <row r="316" spans="1:10" x14ac:dyDescent="0.3">
      <c r="A316" s="247" t="str">
        <f>ORÇAMENTO!A98</f>
        <v>6.33</v>
      </c>
      <c r="B316" s="73" t="str">
        <f>ORÇAMENTO!B98</f>
        <v>GOINFRA</v>
      </c>
      <c r="C316" s="74">
        <f>ORÇAMENTO!C98</f>
        <v>71430</v>
      </c>
      <c r="D316" s="75" t="str">
        <f>ORÇAMENTO!D98</f>
        <v xml:space="preserve">INTERRUPTOR INTERMEDIARIO (FOUR-WAY) </v>
      </c>
      <c r="E316" s="74" t="str">
        <f>ORÇAMENTO!F98</f>
        <v>und.</v>
      </c>
      <c r="F316" s="354">
        <f>ORÇAMENTO!E98</f>
        <v>1</v>
      </c>
      <c r="G316" s="369"/>
      <c r="H316" s="369"/>
      <c r="I316" s="369"/>
      <c r="J316" s="370"/>
    </row>
    <row r="317" spans="1:10" x14ac:dyDescent="0.3">
      <c r="A317" s="247" t="str">
        <f>ORÇAMENTO!A99</f>
        <v>6.34</v>
      </c>
      <c r="B317" s="73" t="str">
        <f>ORÇAMENTO!B99</f>
        <v>GOINFRA</v>
      </c>
      <c r="C317" s="74">
        <f>ORÇAMENTO!C99</f>
        <v>71431</v>
      </c>
      <c r="D317" s="75" t="str">
        <f>ORÇAMENTO!D99</f>
        <v xml:space="preserve">INTERRUPTOR PARALELO SIMPLES (1 SECAO) </v>
      </c>
      <c r="E317" s="74" t="str">
        <f>ORÇAMENTO!F99</f>
        <v>und.</v>
      </c>
      <c r="F317" s="354">
        <f>ORÇAMENTO!E99</f>
        <v>2</v>
      </c>
      <c r="G317" s="369"/>
      <c r="H317" s="369"/>
      <c r="I317" s="369"/>
      <c r="J317" s="370"/>
    </row>
    <row r="318" spans="1:10" x14ac:dyDescent="0.3">
      <c r="A318" s="247" t="str">
        <f>ORÇAMENTO!A100</f>
        <v>6.35</v>
      </c>
      <c r="B318" s="73" t="str">
        <f>ORÇAMENTO!B100</f>
        <v>GOINFRA</v>
      </c>
      <c r="C318" s="74">
        <f>ORÇAMENTO!C100</f>
        <v>71432</v>
      </c>
      <c r="D318" s="75" t="str">
        <f>ORÇAMENTO!D100</f>
        <v xml:space="preserve">INTERRUPTOR PARALELO DUPLO (2 SECOES) </v>
      </c>
      <c r="E318" s="74" t="str">
        <f>ORÇAMENTO!F100</f>
        <v>und.</v>
      </c>
      <c r="F318" s="354">
        <f>ORÇAMENTO!E100</f>
        <v>8</v>
      </c>
      <c r="G318" s="369"/>
      <c r="H318" s="369"/>
      <c r="I318" s="369"/>
      <c r="J318" s="370"/>
    </row>
    <row r="319" spans="1:10" x14ac:dyDescent="0.3">
      <c r="A319" s="247" t="str">
        <f>ORÇAMENTO!A101</f>
        <v>6.36</v>
      </c>
      <c r="B319" s="73" t="str">
        <f>ORÇAMENTO!B101</f>
        <v>GOINFRA</v>
      </c>
      <c r="C319" s="74">
        <f>ORÇAMENTO!C101</f>
        <v>71441</v>
      </c>
      <c r="D319" s="75" t="str">
        <f>ORÇAMENTO!D101</f>
        <v xml:space="preserve">INTERRUPTOR SIMPLES (2 SECOES) </v>
      </c>
      <c r="E319" s="74" t="str">
        <f>ORÇAMENTO!F101</f>
        <v>und.</v>
      </c>
      <c r="F319" s="354">
        <f>ORÇAMENTO!E101</f>
        <v>6</v>
      </c>
      <c r="G319" s="369"/>
      <c r="H319" s="369"/>
      <c r="I319" s="369"/>
      <c r="J319" s="370"/>
    </row>
    <row r="320" spans="1:10" x14ac:dyDescent="0.3">
      <c r="A320" s="247" t="str">
        <f>ORÇAMENTO!A102</f>
        <v>6.37</v>
      </c>
      <c r="B320" s="73" t="str">
        <f>ORÇAMENTO!B102</f>
        <v>GOINFRA</v>
      </c>
      <c r="C320" s="74">
        <f>ORÇAMENTO!C102</f>
        <v>71443</v>
      </c>
      <c r="D320" s="75" t="str">
        <f>ORÇAMENTO!D102</f>
        <v xml:space="preserve">INTERRUPTOR SIMPLES 1 SEÇÃO E 1 TOMADA HEXAGONAL 2P + T - 10A CONJUGADOS </v>
      </c>
      <c r="E320" s="74" t="str">
        <f>ORÇAMENTO!F102</f>
        <v>und.</v>
      </c>
      <c r="F320" s="354">
        <f>ORÇAMENTO!E102</f>
        <v>19</v>
      </c>
      <c r="G320" s="369"/>
      <c r="H320" s="369"/>
      <c r="I320" s="369"/>
      <c r="J320" s="370"/>
    </row>
    <row r="321" spans="1:10" x14ac:dyDescent="0.3">
      <c r="A321" s="247" t="str">
        <f>ORÇAMENTO!A103</f>
        <v>6.38</v>
      </c>
      <c r="B321" s="73" t="str">
        <f>ORÇAMENTO!B103</f>
        <v>GOINFRA</v>
      </c>
      <c r="C321" s="74">
        <f>ORÇAMENTO!C103</f>
        <v>71520</v>
      </c>
      <c r="D321" s="75" t="str">
        <f>ORÇAMENTO!D103</f>
        <v xml:space="preserve">LAMPADA A VAPOR DE MERCURIO 125 W </v>
      </c>
      <c r="E321" s="74" t="str">
        <f>ORÇAMENTO!F103</f>
        <v>und.</v>
      </c>
      <c r="F321" s="354">
        <f>ORÇAMENTO!E103</f>
        <v>12</v>
      </c>
      <c r="G321" s="369"/>
      <c r="H321" s="369"/>
      <c r="I321" s="369"/>
      <c r="J321" s="370"/>
    </row>
    <row r="322" spans="1:10" x14ac:dyDescent="0.3">
      <c r="A322" s="247" t="str">
        <f>ORÇAMENTO!A104</f>
        <v>6.39</v>
      </c>
      <c r="B322" s="73" t="str">
        <f>ORÇAMENTO!B104</f>
        <v>GOINFRA</v>
      </c>
      <c r="C322" s="74">
        <f>ORÇAMENTO!C104</f>
        <v>71525</v>
      </c>
      <c r="D322" s="75" t="str">
        <f>ORÇAMENTO!D104</f>
        <v xml:space="preserve">LAMPADA VAPOR METALICO OVOIDE 150 W </v>
      </c>
      <c r="E322" s="74" t="str">
        <f>ORÇAMENTO!F104</f>
        <v>und.</v>
      </c>
      <c r="F322" s="354">
        <f>ORÇAMENTO!E104</f>
        <v>18</v>
      </c>
      <c r="G322" s="369"/>
      <c r="H322" s="369"/>
      <c r="I322" s="369"/>
      <c r="J322" s="370"/>
    </row>
    <row r="323" spans="1:10" x14ac:dyDescent="0.3">
      <c r="A323" s="247" t="str">
        <f>ORÇAMENTO!A105</f>
        <v>6.40</v>
      </c>
      <c r="B323" s="73" t="str">
        <f>ORÇAMENTO!B105</f>
        <v>GOINFRA</v>
      </c>
      <c r="C323" s="74">
        <f>ORÇAMENTO!C105</f>
        <v>71536</v>
      </c>
      <c r="D323" s="75" t="str">
        <f>ORÇAMENTO!D105</f>
        <v xml:space="preserve">LÂMPADA FLUORESCENTE TUBULAR T5 DE 28 W </v>
      </c>
      <c r="E323" s="74" t="str">
        <f>ORÇAMENTO!F105</f>
        <v>und.</v>
      </c>
      <c r="F323" s="354">
        <f>ORÇAMENTO!E105</f>
        <v>302</v>
      </c>
      <c r="G323" s="369"/>
      <c r="H323" s="369"/>
      <c r="I323" s="369"/>
      <c r="J323" s="370"/>
    </row>
    <row r="324" spans="1:10" x14ac:dyDescent="0.3">
      <c r="A324" s="247" t="str">
        <f>ORÇAMENTO!A106</f>
        <v>6.41</v>
      </c>
      <c r="B324" s="73" t="str">
        <f>ORÇAMENTO!B106</f>
        <v>GOINFRA</v>
      </c>
      <c r="C324" s="74">
        <f>ORÇAMENTO!C106</f>
        <v>71560</v>
      </c>
      <c r="D324" s="75" t="str">
        <f>ORÇAMENTO!D106</f>
        <v xml:space="preserve"> LAMPADA MISTA DE 160 W</v>
      </c>
      <c r="E324" s="74" t="str">
        <f>ORÇAMENTO!F106</f>
        <v>und.</v>
      </c>
      <c r="F324" s="354">
        <f>ORÇAMENTO!E106</f>
        <v>14</v>
      </c>
      <c r="G324" s="369"/>
      <c r="H324" s="369"/>
      <c r="I324" s="369"/>
      <c r="J324" s="370"/>
    </row>
    <row r="325" spans="1:10" x14ac:dyDescent="0.3">
      <c r="A325" s="247" t="str">
        <f>ORÇAMENTO!A107</f>
        <v>6.42</v>
      </c>
      <c r="B325" s="73" t="str">
        <f>ORÇAMENTO!B107</f>
        <v>GOINFRA</v>
      </c>
      <c r="C325" s="74">
        <f>ORÇAMENTO!C107</f>
        <v>71577</v>
      </c>
      <c r="D325" s="75" t="str">
        <f>ORÇAMENTO!D107</f>
        <v xml:space="preserve">LAMPADA COMPACTA ELETRÔNICA COM REATOR INTEGRADO 25/26 W </v>
      </c>
      <c r="E325" s="74" t="str">
        <f>ORÇAMENTO!F107</f>
        <v>und.</v>
      </c>
      <c r="F325" s="354">
        <f>ORÇAMENTO!E107</f>
        <v>28</v>
      </c>
      <c r="G325" s="369"/>
      <c r="H325" s="369"/>
      <c r="I325" s="369"/>
      <c r="J325" s="370"/>
    </row>
    <row r="326" spans="1:10" x14ac:dyDescent="0.3">
      <c r="A326" s="247" t="str">
        <f>ORÇAMENTO!A108</f>
        <v>6.43</v>
      </c>
      <c r="B326" s="73" t="str">
        <f>ORÇAMENTO!B108</f>
        <v>GOINFRA</v>
      </c>
      <c r="C326" s="74">
        <f>ORÇAMENTO!C108</f>
        <v>71590</v>
      </c>
      <c r="D326" s="75" t="str">
        <f>ORÇAMENTO!D108</f>
        <v xml:space="preserve">LAMPADA VAPOR DE SODIO OVOIDE 150 W </v>
      </c>
      <c r="E326" s="74" t="str">
        <f>ORÇAMENTO!F108</f>
        <v>und.</v>
      </c>
      <c r="F326" s="354">
        <f>ORÇAMENTO!E108</f>
        <v>16</v>
      </c>
      <c r="G326" s="369"/>
      <c r="H326" s="369"/>
      <c r="I326" s="369"/>
      <c r="J326" s="370"/>
    </row>
    <row r="327" spans="1:10" x14ac:dyDescent="0.3">
      <c r="A327" s="247" t="str">
        <f>ORÇAMENTO!A109</f>
        <v>6.44</v>
      </c>
      <c r="B327" s="73" t="str">
        <f>ORÇAMENTO!B109</f>
        <v>GOINFRA</v>
      </c>
      <c r="C327" s="74">
        <f>ORÇAMENTO!C109</f>
        <v>71609</v>
      </c>
      <c r="D327" s="75" t="str">
        <f>ORÇAMENTO!D109</f>
        <v xml:space="preserve">LUMINÁRIA BLINDADA PARA TETO COM GRADE ( MÉDIA ) - BASE E-27 </v>
      </c>
      <c r="E327" s="74" t="str">
        <f>ORÇAMENTO!F109</f>
        <v>und.</v>
      </c>
      <c r="F327" s="354">
        <f>ORÇAMENTO!E109</f>
        <v>16</v>
      </c>
      <c r="G327" s="369"/>
      <c r="H327" s="369"/>
      <c r="I327" s="369"/>
      <c r="J327" s="370"/>
    </row>
    <row r="328" spans="1:10" ht="28.8" x14ac:dyDescent="0.3">
      <c r="A328" s="247" t="str">
        <f>ORÇAMENTO!A110</f>
        <v>6.45</v>
      </c>
      <c r="B328" s="73" t="str">
        <f>ORÇAMENTO!B110</f>
        <v>GOINFRA</v>
      </c>
      <c r="C328" s="74">
        <f>ORÇAMENTO!C110</f>
        <v>71617</v>
      </c>
      <c r="D328" s="75" t="str">
        <f>ORÇAMENTO!D110</f>
        <v>LUMINÁRIA DE EMBUTIR COM REFLETOR DE ALUMÍNIO E ALETAS 2X28W - INCLUSO CORTE NO FORRO</v>
      </c>
      <c r="E328" s="74" t="str">
        <f>ORÇAMENTO!F110</f>
        <v>und.</v>
      </c>
      <c r="F328" s="354">
        <f>ORÇAMENTO!E110</f>
        <v>144</v>
      </c>
      <c r="G328" s="369"/>
      <c r="H328" s="369"/>
      <c r="I328" s="369"/>
      <c r="J328" s="370"/>
    </row>
    <row r="329" spans="1:10" x14ac:dyDescent="0.3">
      <c r="A329" s="247" t="str">
        <f>ORÇAMENTO!A111</f>
        <v>6.46</v>
      </c>
      <c r="B329" s="73" t="str">
        <f>ORÇAMENTO!B111</f>
        <v>GOINFRA</v>
      </c>
      <c r="C329" s="74">
        <f>ORÇAMENTO!C111</f>
        <v>71622</v>
      </c>
      <c r="D329" s="75" t="str">
        <f>ORÇAMENTO!D111</f>
        <v xml:space="preserve">LUMINÁRIA DE SOBREPOR COM REFLETOR DE ALUMÍNIO E ALETAS 2X28W </v>
      </c>
      <c r="E329" s="74" t="str">
        <f>ORÇAMENTO!F111</f>
        <v>und.</v>
      </c>
      <c r="F329" s="354">
        <f>ORÇAMENTO!E111</f>
        <v>7</v>
      </c>
      <c r="G329" s="369"/>
      <c r="H329" s="369"/>
      <c r="I329" s="369"/>
      <c r="J329" s="370"/>
    </row>
    <row r="330" spans="1:10" ht="28.8" x14ac:dyDescent="0.3">
      <c r="A330" s="247" t="str">
        <f>ORÇAMENTO!A112</f>
        <v>6.47</v>
      </c>
      <c r="B330" s="73" t="str">
        <f>ORÇAMENTO!B112</f>
        <v>GOINFRA</v>
      </c>
      <c r="C330" s="74">
        <f>ORÇAMENTO!C112</f>
        <v>71626</v>
      </c>
      <c r="D330" s="75" t="str">
        <f>ORÇAMENTO!D112</f>
        <v>LUMINÁRIA PARA JARDIM COM POSTE 2,50 M COM 01 GLOBO - INCLUSO BASE DE CONCRETO PADRÃO GOINFRA E FIXAÇÃO</v>
      </c>
      <c r="E330" s="74" t="str">
        <f>ORÇAMENTO!F112</f>
        <v>und.</v>
      </c>
      <c r="F330" s="354">
        <f>ORÇAMENTO!E112</f>
        <v>14</v>
      </c>
      <c r="G330" s="369"/>
      <c r="H330" s="369"/>
      <c r="I330" s="369"/>
      <c r="J330" s="370"/>
    </row>
    <row r="331" spans="1:10" x14ac:dyDescent="0.3">
      <c r="A331" s="247" t="str">
        <f>ORÇAMENTO!A113</f>
        <v>6.48</v>
      </c>
      <c r="B331" s="73" t="str">
        <f>ORÇAMENTO!B113</f>
        <v>GOINFRA</v>
      </c>
      <c r="C331" s="74">
        <f>ORÇAMENTO!C113</f>
        <v>71660</v>
      </c>
      <c r="D331" s="75" t="str">
        <f>ORÇAMENTO!D113</f>
        <v xml:space="preserve">LUMINÁRIA CIRCULAR COM VIDRO PARA QUADRA ATÉ 400 W - BASE E-40 </v>
      </c>
      <c r="E331" s="74" t="str">
        <f>ORÇAMENTO!F113</f>
        <v>und.</v>
      </c>
      <c r="F331" s="354">
        <f>ORÇAMENTO!E113</f>
        <v>12</v>
      </c>
      <c r="G331" s="369"/>
      <c r="H331" s="369"/>
      <c r="I331" s="369"/>
      <c r="J331" s="370"/>
    </row>
    <row r="332" spans="1:10" x14ac:dyDescent="0.3">
      <c r="A332" s="247" t="str">
        <f>ORÇAMENTO!A114</f>
        <v>6.49</v>
      </c>
      <c r="B332" s="73" t="str">
        <f>ORÇAMENTO!B114</f>
        <v>GOINFRA</v>
      </c>
      <c r="C332" s="74">
        <f>ORÇAMENTO!C114</f>
        <v>71689</v>
      </c>
      <c r="D332" s="75" t="str">
        <f>ORÇAMENTO!D114</f>
        <v xml:space="preserve">LUMINÁRIA TIPO SPOT DE SOBREPOR PARA 02 LÂMPADAS </v>
      </c>
      <c r="E332" s="74" t="str">
        <f>ORÇAMENTO!F114</f>
        <v>und.</v>
      </c>
      <c r="F332" s="354">
        <f>ORÇAMENTO!E114</f>
        <v>14</v>
      </c>
      <c r="G332" s="369"/>
      <c r="H332" s="369"/>
      <c r="I332" s="369"/>
      <c r="J332" s="370"/>
    </row>
    <row r="333" spans="1:10" x14ac:dyDescent="0.3">
      <c r="A333" s="247" t="str">
        <f>ORÇAMENTO!A115</f>
        <v>6.50</v>
      </c>
      <c r="B333" s="73" t="str">
        <f>ORÇAMENTO!B115</f>
        <v>GOINFRA</v>
      </c>
      <c r="C333" s="74">
        <f>ORÇAMENTO!C115</f>
        <v>71742</v>
      </c>
      <c r="D333" s="75" t="str">
        <f>ORÇAMENTO!D115</f>
        <v xml:space="preserve">LUVA PVC ROSQUEAVEL DIAMETRO 1" </v>
      </c>
      <c r="E333" s="74" t="str">
        <f>ORÇAMENTO!F115</f>
        <v>und.</v>
      </c>
      <c r="F333" s="354">
        <f>ORÇAMENTO!E115</f>
        <v>8</v>
      </c>
      <c r="G333" s="369"/>
      <c r="H333" s="369"/>
      <c r="I333" s="369"/>
      <c r="J333" s="370"/>
    </row>
    <row r="334" spans="1:10" x14ac:dyDescent="0.3">
      <c r="A334" s="247" t="str">
        <f>ORÇAMENTO!A116</f>
        <v>6.51</v>
      </c>
      <c r="B334" s="73" t="str">
        <f>ORÇAMENTO!B116</f>
        <v>GOINFRA</v>
      </c>
      <c r="C334" s="74">
        <f>ORÇAMENTO!C116</f>
        <v>71773</v>
      </c>
      <c r="D334" s="75" t="str">
        <f>ORÇAMENTO!D116</f>
        <v xml:space="preserve">NIPLE METALICO Fo.Zo. DIAMETRO 1" </v>
      </c>
      <c r="E334" s="74" t="str">
        <f>ORÇAMENTO!F116</f>
        <v>und.</v>
      </c>
      <c r="F334" s="354">
        <f>ORÇAMENTO!E116</f>
        <v>3</v>
      </c>
      <c r="G334" s="369"/>
      <c r="H334" s="369"/>
      <c r="I334" s="369"/>
      <c r="J334" s="370"/>
    </row>
    <row r="335" spans="1:10" ht="43.2" x14ac:dyDescent="0.3">
      <c r="A335" s="247" t="str">
        <f>ORÇAMENTO!A117</f>
        <v>6.52</v>
      </c>
      <c r="B335" s="73" t="str">
        <f>ORÇAMENTO!B117</f>
        <v>GOINFRA</v>
      </c>
      <c r="C335" s="74">
        <f>ORÇAMENTO!C117</f>
        <v>71991</v>
      </c>
      <c r="D335" s="75" t="str">
        <f>ORÇAMENTO!D117</f>
        <v>POSTE SIMPLES CÔNICO CONTÍNUO, CIRCULAR, RETO, COM DIÂMETRO NOMINAL DE 60MM NA EXTREMIDADE, GALVANIZADO A FOGO, Hútil= 7 M - ENGASTADO EM CONCRETO COM FCK = 13,5 MPA</v>
      </c>
      <c r="E335" s="74" t="str">
        <f>ORÇAMENTO!F117</f>
        <v>und.</v>
      </c>
      <c r="F335" s="354">
        <f>ORÇAMENTO!E117</f>
        <v>18</v>
      </c>
      <c r="G335" s="369"/>
      <c r="H335" s="369"/>
      <c r="I335" s="369"/>
      <c r="J335" s="370"/>
    </row>
    <row r="336" spans="1:10" x14ac:dyDescent="0.3">
      <c r="A336" s="247" t="str">
        <f>ORÇAMENTO!A118</f>
        <v>6.53</v>
      </c>
      <c r="B336" s="73" t="str">
        <f>ORÇAMENTO!B118</f>
        <v>GOINFRA</v>
      </c>
      <c r="C336" s="74">
        <f>ORÇAMENTO!C118</f>
        <v>72160</v>
      </c>
      <c r="D336" s="75" t="str">
        <f>ORÇAMENTO!D118</f>
        <v>PULSADOR CAMPAINHA</v>
      </c>
      <c r="E336" s="74" t="str">
        <f>ORÇAMENTO!F118</f>
        <v>und.</v>
      </c>
      <c r="F336" s="354">
        <f>ORÇAMENTO!E118</f>
        <v>1</v>
      </c>
      <c r="G336" s="369"/>
      <c r="H336" s="369"/>
      <c r="I336" s="369"/>
      <c r="J336" s="370"/>
    </row>
    <row r="337" spans="1:10" x14ac:dyDescent="0.3">
      <c r="A337" s="247" t="str">
        <f>ORÇAMENTO!A119</f>
        <v>6.54</v>
      </c>
      <c r="B337" s="73" t="str">
        <f>ORÇAMENTO!B119</f>
        <v>GOINFRA</v>
      </c>
      <c r="C337" s="74">
        <f>ORÇAMENTO!C119</f>
        <v>72190</v>
      </c>
      <c r="D337" s="75" t="str">
        <f>ORÇAMENTO!D119</f>
        <v xml:space="preserve">QUADRO DE DISTRIBUIÇÃO DE EMBUTIR METÁLICO CB-24E - 150A </v>
      </c>
      <c r="E337" s="74" t="str">
        <f>ORÇAMENTO!F119</f>
        <v>und.</v>
      </c>
      <c r="F337" s="354">
        <f>ORÇAMENTO!E119</f>
        <v>5</v>
      </c>
      <c r="G337" s="369"/>
      <c r="H337" s="369"/>
      <c r="I337" s="369"/>
      <c r="J337" s="370"/>
    </row>
    <row r="338" spans="1:10" x14ac:dyDescent="0.3">
      <c r="A338" s="247" t="str">
        <f>ORÇAMENTO!A120</f>
        <v>6.55</v>
      </c>
      <c r="B338" s="73" t="str">
        <f>ORÇAMENTO!B120</f>
        <v>GOINFRA</v>
      </c>
      <c r="C338" s="74">
        <f>ORÇAMENTO!C120</f>
        <v>72198</v>
      </c>
      <c r="D338" s="75" t="str">
        <f>ORÇAMENTO!D120</f>
        <v xml:space="preserve">QUADRO DE DISTRIBUIÇÃO DE EMBUTIR METÁLICO CB-34E - 150A </v>
      </c>
      <c r="E338" s="74" t="str">
        <f>ORÇAMENTO!F120</f>
        <v>und.</v>
      </c>
      <c r="F338" s="354">
        <f>ORÇAMENTO!E120</f>
        <v>1</v>
      </c>
      <c r="G338" s="369"/>
      <c r="H338" s="369"/>
      <c r="I338" s="369"/>
      <c r="J338" s="370"/>
    </row>
    <row r="339" spans="1:10" x14ac:dyDescent="0.3">
      <c r="A339" s="247" t="str">
        <f>ORÇAMENTO!A121</f>
        <v>6.56</v>
      </c>
      <c r="B339" s="73" t="str">
        <f>ORÇAMENTO!B121</f>
        <v>GOINFRA</v>
      </c>
      <c r="C339" s="74">
        <f>ORÇAMENTO!C121</f>
        <v>72201</v>
      </c>
      <c r="D339" s="75" t="str">
        <f>ORÇAMENTO!D121</f>
        <v xml:space="preserve">QUADRO DE DISTRIBUIÇÃO DE EMBUTIR METÁLICO CB-44E - 150A </v>
      </c>
      <c r="E339" s="74" t="str">
        <f>ORÇAMENTO!F121</f>
        <v>und.</v>
      </c>
      <c r="F339" s="354">
        <f>ORÇAMENTO!E121</f>
        <v>1</v>
      </c>
      <c r="G339" s="369"/>
      <c r="H339" s="369"/>
      <c r="I339" s="369"/>
      <c r="J339" s="370"/>
    </row>
    <row r="340" spans="1:10" x14ac:dyDescent="0.3">
      <c r="A340" s="247" t="str">
        <f>ORÇAMENTO!A122</f>
        <v>6.57</v>
      </c>
      <c r="B340" s="73" t="str">
        <f>ORÇAMENTO!B122</f>
        <v>GOINFRA</v>
      </c>
      <c r="C340" s="74">
        <f>ORÇAMENTO!C122</f>
        <v>72236</v>
      </c>
      <c r="D340" s="75" t="str">
        <f>ORÇAMENTO!D122</f>
        <v xml:space="preserve">REATOR AFP USO EXTERNO V.METALICO 150 W </v>
      </c>
      <c r="E340" s="74" t="str">
        <f>ORÇAMENTO!F122</f>
        <v>und.</v>
      </c>
      <c r="F340" s="354">
        <f>ORÇAMENTO!E122</f>
        <v>34</v>
      </c>
      <c r="G340" s="369"/>
      <c r="H340" s="369"/>
      <c r="I340" s="369"/>
      <c r="J340" s="370"/>
    </row>
    <row r="341" spans="1:10" x14ac:dyDescent="0.3">
      <c r="A341" s="247" t="str">
        <f>ORÇAMENTO!A123</f>
        <v>6.58</v>
      </c>
      <c r="B341" s="73" t="str">
        <f>ORÇAMENTO!B123</f>
        <v>GOINFRA</v>
      </c>
      <c r="C341" s="74">
        <f>ORÇAMENTO!C123</f>
        <v>72241</v>
      </c>
      <c r="D341" s="75" t="str">
        <f>ORÇAMENTO!D123</f>
        <v xml:space="preserve">REATOR INTERNO V. MERCÚRIO AFP 1 X 125 W </v>
      </c>
      <c r="E341" s="74" t="str">
        <f>ORÇAMENTO!F123</f>
        <v>und.</v>
      </c>
      <c r="F341" s="354">
        <f>ORÇAMENTO!E123</f>
        <v>12</v>
      </c>
      <c r="G341" s="369"/>
      <c r="H341" s="369"/>
      <c r="I341" s="369"/>
      <c r="J341" s="370"/>
    </row>
    <row r="342" spans="1:10" x14ac:dyDescent="0.3">
      <c r="A342" s="247" t="str">
        <f>ORÇAMENTO!A124</f>
        <v>6.59</v>
      </c>
      <c r="B342" s="73" t="str">
        <f>ORÇAMENTO!B124</f>
        <v>GOINFRA</v>
      </c>
      <c r="C342" s="74">
        <f>ORÇAMENTO!C124</f>
        <v>72252</v>
      </c>
      <c r="D342" s="75" t="str">
        <f>ORÇAMENTO!D124</f>
        <v xml:space="preserve">REATOR ELETRÔNICO AFP 2 X 28W </v>
      </c>
      <c r="E342" s="74" t="str">
        <f>ORÇAMENTO!F124</f>
        <v>und.</v>
      </c>
      <c r="F342" s="354">
        <f>ORÇAMENTO!E124</f>
        <v>151</v>
      </c>
      <c r="G342" s="369"/>
      <c r="H342" s="369"/>
      <c r="I342" s="369"/>
      <c r="J342" s="370"/>
    </row>
    <row r="343" spans="1:10" x14ac:dyDescent="0.3">
      <c r="A343" s="247" t="str">
        <f>ORÇAMENTO!A125</f>
        <v>6.60</v>
      </c>
      <c r="B343" s="73" t="str">
        <f>ORÇAMENTO!B125</f>
        <v>GOINFRA</v>
      </c>
      <c r="C343" s="74">
        <f>ORÇAMENTO!C125</f>
        <v>72320</v>
      </c>
      <c r="D343" s="75" t="str">
        <f>ORÇAMENTO!D125</f>
        <v xml:space="preserve">RELE FOTO ELETRICO COM BASE </v>
      </c>
      <c r="E343" s="74" t="str">
        <f>ORÇAMENTO!F125</f>
        <v>und.</v>
      </c>
      <c r="F343" s="354">
        <f>ORÇAMENTO!E125</f>
        <v>4</v>
      </c>
      <c r="G343" s="369"/>
      <c r="H343" s="369"/>
      <c r="I343" s="369"/>
      <c r="J343" s="370"/>
    </row>
    <row r="344" spans="1:10" x14ac:dyDescent="0.3">
      <c r="A344" s="247" t="str">
        <f>ORÇAMENTO!A126</f>
        <v>6.61</v>
      </c>
      <c r="B344" s="73" t="str">
        <f>ORÇAMENTO!B126</f>
        <v>GOINFRA</v>
      </c>
      <c r="C344" s="74">
        <f>ORÇAMENTO!C126</f>
        <v>72366</v>
      </c>
      <c r="D344" s="75" t="str">
        <f>ORÇAMENTO!D126</f>
        <v xml:space="preserve">SUPORTE PARA 1 PÉTALA PARA LUMINÁRIA DE ILUMINAÇÃO PÚBLICA </v>
      </c>
      <c r="E344" s="74" t="str">
        <f>ORÇAMENTO!F126</f>
        <v>und.</v>
      </c>
      <c r="F344" s="354">
        <f>ORÇAMENTO!E126</f>
        <v>18</v>
      </c>
      <c r="G344" s="369"/>
      <c r="H344" s="369"/>
      <c r="I344" s="369"/>
      <c r="J344" s="370"/>
    </row>
    <row r="345" spans="1:10" x14ac:dyDescent="0.3">
      <c r="A345" s="247" t="str">
        <f>ORÇAMENTO!A127</f>
        <v>6.62</v>
      </c>
      <c r="B345" s="73" t="str">
        <f>ORÇAMENTO!B127</f>
        <v>GOINFRA</v>
      </c>
      <c r="C345" s="74">
        <f>ORÇAMENTO!C127</f>
        <v>72465</v>
      </c>
      <c r="D345" s="75" t="str">
        <f>ORÇAMENTO!D127</f>
        <v>TAMPA PARA CONDULETE METÁLICO PARA 2 INTERRUPTORES</v>
      </c>
      <c r="E345" s="74" t="str">
        <f>ORÇAMENTO!F127</f>
        <v>und.</v>
      </c>
      <c r="F345" s="354">
        <f>ORÇAMENTO!E127</f>
        <v>1</v>
      </c>
      <c r="G345" s="369"/>
      <c r="H345" s="369"/>
      <c r="I345" s="369"/>
      <c r="J345" s="370"/>
    </row>
    <row r="346" spans="1:10" x14ac:dyDescent="0.3">
      <c r="A346" s="247" t="str">
        <f>ORÇAMENTO!A128</f>
        <v>6.63</v>
      </c>
      <c r="B346" s="73" t="str">
        <f>ORÇAMENTO!B128</f>
        <v>GOINFRA</v>
      </c>
      <c r="C346" s="74">
        <f>ORÇAMENTO!C128</f>
        <v>72570</v>
      </c>
      <c r="D346" s="75" t="str">
        <f>ORÇAMENTO!D128</f>
        <v xml:space="preserve">TOMADA HEXAGONAL 2P + T - 10A - 250V (LINHA X OU EQUIVALENTE) </v>
      </c>
      <c r="E346" s="74" t="str">
        <f>ORÇAMENTO!F128</f>
        <v>und.</v>
      </c>
      <c r="F346" s="354">
        <f>ORÇAMENTO!E128</f>
        <v>71</v>
      </c>
      <c r="G346" s="369"/>
      <c r="H346" s="369"/>
      <c r="I346" s="369"/>
      <c r="J346" s="370"/>
    </row>
    <row r="347" spans="1:10" x14ac:dyDescent="0.3">
      <c r="A347" s="247" t="str">
        <f>ORÇAMENTO!A129</f>
        <v>6.64</v>
      </c>
      <c r="B347" s="73" t="str">
        <f>ORÇAMENTO!B129</f>
        <v>GOINFRA</v>
      </c>
      <c r="C347" s="74">
        <f>ORÇAMENTO!C129</f>
        <v>72575</v>
      </c>
      <c r="D347" s="75" t="str">
        <f>ORÇAMENTO!D129</f>
        <v xml:space="preserve">TOMADA HEXAGONAL 2P + T - 20A - 250V (LINHA X OU EQUIVALENTE) </v>
      </c>
      <c r="E347" s="74" t="str">
        <f>ORÇAMENTO!F129</f>
        <v>und.</v>
      </c>
      <c r="F347" s="354">
        <f>ORÇAMENTO!E129</f>
        <v>148</v>
      </c>
      <c r="G347" s="369"/>
      <c r="H347" s="369"/>
      <c r="I347" s="369"/>
      <c r="J347" s="370"/>
    </row>
    <row r="348" spans="1:10" ht="28.8" x14ac:dyDescent="0.3">
      <c r="A348" s="247" t="str">
        <f>ORÇAMENTO!A130</f>
        <v>6.65</v>
      </c>
      <c r="B348" s="73" t="str">
        <f>ORÇAMENTO!B130</f>
        <v xml:space="preserve">SINAPI </v>
      </c>
      <c r="C348" s="74">
        <f>ORÇAMENTO!C130</f>
        <v>91968</v>
      </c>
      <c r="D348" s="75" t="str">
        <f>ORÇAMENTO!D130</f>
        <v>INTERRUPTOR PARALELO (3 MÓDULOS), 10A/250V, SEM SUPORTE E SEM PLACA - FORNECIMENTO E INSTALAÇÃO. AF_12/2015</v>
      </c>
      <c r="E348" s="74" t="str">
        <f>ORÇAMENTO!F130</f>
        <v>und.</v>
      </c>
      <c r="F348" s="354">
        <f>ORÇAMENTO!E130</f>
        <v>2</v>
      </c>
      <c r="G348" s="369"/>
      <c r="H348" s="369"/>
      <c r="I348" s="369"/>
      <c r="J348" s="370"/>
    </row>
    <row r="349" spans="1:10" ht="28.8" x14ac:dyDescent="0.3">
      <c r="A349" s="247" t="str">
        <f>ORÇAMENTO!A131</f>
        <v>6.66</v>
      </c>
      <c r="B349" s="73" t="str">
        <f>ORÇAMENTO!B131</f>
        <v xml:space="preserve">SINAPI </v>
      </c>
      <c r="C349" s="74">
        <f>ORÇAMENTO!C131</f>
        <v>92026</v>
      </c>
      <c r="D349" s="75" t="str">
        <f>ORÇAMENTO!D131</f>
        <v>INTERRUPTOR SIMPLES (2 MÓDULOS) COM 1 TOMADA DE EMBUTIR 2P+T 10 A, SEM SUPORTE E SEM PLACA - FORNECIMENTO E INSTALAÇÃO. AF_12/2015</v>
      </c>
      <c r="E349" s="74" t="str">
        <f>ORÇAMENTO!F131</f>
        <v>und.</v>
      </c>
      <c r="F349" s="354">
        <f>ORÇAMENTO!E131</f>
        <v>1</v>
      </c>
      <c r="G349" s="369"/>
      <c r="H349" s="369"/>
      <c r="I349" s="369"/>
      <c r="J349" s="370"/>
    </row>
    <row r="350" spans="1:10" x14ac:dyDescent="0.3">
      <c r="A350" s="247" t="str">
        <f>ORÇAMENTO!A132</f>
        <v>6.67</v>
      </c>
      <c r="B350" s="73" t="str">
        <f>ORÇAMENTO!B132</f>
        <v>GOINFRA</v>
      </c>
      <c r="C350" s="74">
        <f>ORÇAMENTO!C132</f>
        <v>71824</v>
      </c>
      <c r="D350" s="75" t="str">
        <f>ORÇAMENTO!D132</f>
        <v xml:space="preserve">PADRÃO TRIFASICO 35 MM H=7 METROS </v>
      </c>
      <c r="E350" s="74" t="str">
        <f>ORÇAMENTO!F132</f>
        <v>und.</v>
      </c>
      <c r="F350" s="354">
        <f>ORÇAMENTO!E132</f>
        <v>1</v>
      </c>
      <c r="G350" s="369"/>
      <c r="H350" s="369"/>
      <c r="I350" s="369"/>
      <c r="J350" s="370"/>
    </row>
    <row r="351" spans="1:10" x14ac:dyDescent="0.3">
      <c r="A351" s="247" t="str">
        <f>ORÇAMENTO!A133</f>
        <v>6.68</v>
      </c>
      <c r="B351" s="73" t="str">
        <f>ORÇAMENTO!B133</f>
        <v xml:space="preserve">GOINFRA </v>
      </c>
      <c r="C351" s="74">
        <f>ORÇAMENTO!C133</f>
        <v>70603</v>
      </c>
      <c r="D351" s="75" t="str">
        <f>ORÇAMENTO!D133</f>
        <v>CABO TELEFONICO CCI-50 3 PARES</v>
      </c>
      <c r="E351" s="74" t="str">
        <f>ORÇAMENTO!F133</f>
        <v>m</v>
      </c>
      <c r="F351" s="354">
        <f>ORÇAMENTO!E133</f>
        <v>83.672599999999989</v>
      </c>
      <c r="G351" s="369"/>
      <c r="H351" s="369"/>
      <c r="I351" s="369"/>
      <c r="J351" s="370"/>
    </row>
    <row r="352" spans="1:10" x14ac:dyDescent="0.3">
      <c r="A352" s="247" t="str">
        <f>ORÇAMENTO!A134</f>
        <v>6.69</v>
      </c>
      <c r="B352" s="73" t="str">
        <f>ORÇAMENTO!B134</f>
        <v xml:space="preserve">GOINFRA </v>
      </c>
      <c r="C352" s="74">
        <f>ORÇAMENTO!C134</f>
        <v>70626</v>
      </c>
      <c r="D352" s="75" t="str">
        <f>ORÇAMENTO!D134</f>
        <v xml:space="preserve">CABO UTP-4P, CAT. 6 , 24 AWG </v>
      </c>
      <c r="E352" s="74" t="str">
        <f>ORÇAMENTO!F134</f>
        <v>m</v>
      </c>
      <c r="F352" s="354">
        <f>ORÇAMENTO!E134</f>
        <v>83.672599999999989</v>
      </c>
      <c r="G352" s="369"/>
      <c r="H352" s="369"/>
      <c r="I352" s="369"/>
      <c r="J352" s="370"/>
    </row>
    <row r="353" spans="1:10" x14ac:dyDescent="0.3">
      <c r="A353" s="247" t="str">
        <f>ORÇAMENTO!A135</f>
        <v>6.70</v>
      </c>
      <c r="B353" s="73" t="str">
        <f>ORÇAMENTO!B135</f>
        <v xml:space="preserve">GOINFRA </v>
      </c>
      <c r="C353" s="74">
        <f>ORÇAMENTO!C135</f>
        <v>70648</v>
      </c>
      <c r="D353" s="75" t="str">
        <f>ORÇAMENTO!D135</f>
        <v>CAIXA DE PASSAGEM METÁLICA DE EMBUTIR  40X40X15 CM</v>
      </c>
      <c r="E353" s="74" t="str">
        <f>ORÇAMENTO!F135</f>
        <v>und.</v>
      </c>
      <c r="F353" s="354">
        <f>ORÇAMENTO!E135</f>
        <v>2</v>
      </c>
      <c r="G353" s="369"/>
      <c r="H353" s="369"/>
      <c r="I353" s="369"/>
      <c r="J353" s="370"/>
    </row>
    <row r="354" spans="1:10" x14ac:dyDescent="0.3">
      <c r="A354" s="247" t="str">
        <f>ORÇAMENTO!A136</f>
        <v>6.71</v>
      </c>
      <c r="B354" s="73" t="str">
        <f>ORÇAMENTO!B136</f>
        <v xml:space="preserve">GOINFRA </v>
      </c>
      <c r="C354" s="74">
        <f>ORÇAMENTO!C136</f>
        <v>70691</v>
      </c>
      <c r="D354" s="75" t="str">
        <f>ORÇAMENTO!D136</f>
        <v xml:space="preserve">CAIXA METALICA RET. 4" X 2" X 2" </v>
      </c>
      <c r="E354" s="74" t="str">
        <f>ORÇAMENTO!F136</f>
        <v>und.</v>
      </c>
      <c r="F354" s="354">
        <f>ORÇAMENTO!E136</f>
        <v>26</v>
      </c>
      <c r="G354" s="369"/>
      <c r="H354" s="369"/>
      <c r="I354" s="369"/>
      <c r="J354" s="370"/>
    </row>
    <row r="355" spans="1:10" x14ac:dyDescent="0.3">
      <c r="A355" s="247" t="str">
        <f>ORÇAMENTO!A137</f>
        <v>6.72</v>
      </c>
      <c r="B355" s="73" t="str">
        <f>ORÇAMENTO!B137</f>
        <v xml:space="preserve">GOINFRA </v>
      </c>
      <c r="C355" s="74">
        <f>ORÇAMENTO!C137</f>
        <v>71193</v>
      </c>
      <c r="D355" s="75" t="str">
        <f>ORÇAMENTO!D137</f>
        <v>ELETRODUTO PVC FLEXÍVEL - MANGUEIRA CORRUGADA LEVE - DIAM. 25MM</v>
      </c>
      <c r="E355" s="74" t="str">
        <f>ORÇAMENTO!F137</f>
        <v>m</v>
      </c>
      <c r="F355" s="354">
        <f>ORÇAMENTO!E137</f>
        <v>83.672599999999989</v>
      </c>
      <c r="G355" s="369"/>
      <c r="H355" s="369"/>
      <c r="I355" s="369"/>
      <c r="J355" s="370"/>
    </row>
    <row r="356" spans="1:10" x14ac:dyDescent="0.3">
      <c r="A356" s="247" t="str">
        <f>ORÇAMENTO!A138</f>
        <v>6.73</v>
      </c>
      <c r="B356" s="73" t="str">
        <f>ORÇAMENTO!B138</f>
        <v xml:space="preserve">GOINFRA </v>
      </c>
      <c r="C356" s="74">
        <f>ORÇAMENTO!C138</f>
        <v>72591</v>
      </c>
      <c r="D356" s="75" t="str">
        <f>ORÇAMENTO!D138</f>
        <v>TOMADA TELEFÔNICA RJ-11</v>
      </c>
      <c r="E356" s="74" t="str">
        <f>ORÇAMENTO!F138</f>
        <v>und.</v>
      </c>
      <c r="F356" s="354">
        <f>ORÇAMENTO!E138</f>
        <v>13</v>
      </c>
      <c r="G356" s="369"/>
      <c r="H356" s="369"/>
      <c r="I356" s="369"/>
      <c r="J356" s="370"/>
    </row>
    <row r="357" spans="1:10" x14ac:dyDescent="0.3">
      <c r="A357" s="247" t="str">
        <f>ORÇAMENTO!A139</f>
        <v>6.74</v>
      </c>
      <c r="B357" s="73" t="str">
        <f>ORÇAMENTO!B139</f>
        <v xml:space="preserve">GOINFRA </v>
      </c>
      <c r="C357" s="74">
        <f>ORÇAMENTO!C139</f>
        <v>72596</v>
      </c>
      <c r="D357" s="75" t="str">
        <f>ORÇAMENTO!D139</f>
        <v>TOMADA LÓGICA RJ-45 CAT. 6 (LINHA X OU EQUIVALENTE)</v>
      </c>
      <c r="E357" s="74" t="str">
        <f>ORÇAMENTO!F139</f>
        <v>und.</v>
      </c>
      <c r="F357" s="354">
        <f>ORÇAMENTO!E139</f>
        <v>13</v>
      </c>
      <c r="G357" s="369"/>
      <c r="H357" s="369"/>
      <c r="I357" s="369"/>
      <c r="J357" s="370"/>
    </row>
    <row r="358" spans="1:10" x14ac:dyDescent="0.3">
      <c r="A358" s="247" t="str">
        <f>ORÇAMENTO!A140</f>
        <v>6.75</v>
      </c>
      <c r="B358" s="73" t="str">
        <f>ORÇAMENTO!B140</f>
        <v xml:space="preserve">SINAPI </v>
      </c>
      <c r="C358" s="74">
        <f>ORÇAMENTO!C140</f>
        <v>83645</v>
      </c>
      <c r="D358" s="75" t="str">
        <f>ORÇAMENTO!D140</f>
        <v xml:space="preserve">BOMBA RECALQUE D'AGUA TRIFASICA 3,0 HP </v>
      </c>
      <c r="E358" s="74" t="str">
        <f>ORÇAMENTO!F140</f>
        <v>und.</v>
      </c>
      <c r="F358" s="354">
        <f>ORÇAMENTO!E140</f>
        <v>1</v>
      </c>
      <c r="G358" s="369"/>
      <c r="H358" s="369"/>
      <c r="I358" s="369"/>
      <c r="J358" s="370"/>
    </row>
    <row r="359" spans="1:10" x14ac:dyDescent="0.3">
      <c r="A359" s="247" t="str">
        <f>ORÇAMENTO!A141</f>
        <v>6.76</v>
      </c>
      <c r="B359" s="73" t="str">
        <f>ORÇAMENTO!B141</f>
        <v xml:space="preserve">SINAPI </v>
      </c>
      <c r="C359" s="74">
        <f>ORÇAMENTO!C141</f>
        <v>83647</v>
      </c>
      <c r="D359" s="75" t="str">
        <f>ORÇAMENTO!D141</f>
        <v>BOMBA RECALQUE D'AGUA TRIFASICA 1,5HP</v>
      </c>
      <c r="E359" s="74" t="str">
        <f>ORÇAMENTO!F141</f>
        <v>und.</v>
      </c>
      <c r="F359" s="354">
        <f>ORÇAMENTO!E141</f>
        <v>1</v>
      </c>
      <c r="G359" s="369"/>
      <c r="H359" s="369"/>
      <c r="I359" s="369"/>
      <c r="J359" s="370"/>
    </row>
    <row r="360" spans="1:10" x14ac:dyDescent="0.3">
      <c r="A360" s="247" t="str">
        <f>ORÇAMENTO!A142</f>
        <v>6.77</v>
      </c>
      <c r="B360" s="73" t="str">
        <f>ORÇAMENTO!B142</f>
        <v xml:space="preserve">SINAPI </v>
      </c>
      <c r="C360" s="74">
        <f>ORÇAMENTO!C142</f>
        <v>83644</v>
      </c>
      <c r="D360" s="75" t="str">
        <f>ORÇAMENTO!D142</f>
        <v xml:space="preserve">BOMBA RECALQUE D'AGUA TRIFASICA 10,0 HP </v>
      </c>
      <c r="E360" s="74" t="str">
        <f>ORÇAMENTO!F142</f>
        <v>und.</v>
      </c>
      <c r="F360" s="354">
        <f>ORÇAMENTO!E142</f>
        <v>1</v>
      </c>
      <c r="G360" s="369"/>
      <c r="H360" s="369"/>
      <c r="I360" s="369"/>
      <c r="J360" s="370"/>
    </row>
    <row r="361" spans="1:10" ht="15" thickBot="1" x14ac:dyDescent="0.35">
      <c r="A361" s="415" t="s">
        <v>32</v>
      </c>
      <c r="B361" s="416"/>
      <c r="C361" s="416"/>
      <c r="D361" s="416"/>
      <c r="E361" s="416"/>
      <c r="F361" s="416"/>
      <c r="G361" s="416"/>
      <c r="H361" s="416"/>
      <c r="I361" s="416"/>
      <c r="J361" s="417"/>
    </row>
    <row r="362" spans="1:10" x14ac:dyDescent="0.3">
      <c r="A362" s="249">
        <v>7</v>
      </c>
      <c r="B362" s="87" t="s">
        <v>25</v>
      </c>
      <c r="C362" s="81">
        <v>80000</v>
      </c>
      <c r="D362" s="400" t="s">
        <v>33</v>
      </c>
      <c r="E362" s="401"/>
      <c r="F362" s="401"/>
      <c r="G362" s="401"/>
      <c r="H362" s="401"/>
      <c r="I362" s="401"/>
      <c r="J362" s="402"/>
    </row>
    <row r="363" spans="1:10" x14ac:dyDescent="0.3">
      <c r="A363" s="247" t="str">
        <f>ORÇAMENTO!A146</f>
        <v>7.1</v>
      </c>
      <c r="B363" s="73" t="str">
        <f>ORÇAMENTO!B146</f>
        <v>GOINFRA</v>
      </c>
      <c r="C363" s="74">
        <f>ORÇAMENTO!C146</f>
        <v>80500</v>
      </c>
      <c r="D363" s="438" t="str">
        <f>ORÇAMENTO!D146</f>
        <v>L O U C A S E M E T A I S</v>
      </c>
      <c r="E363" s="439"/>
      <c r="F363" s="439"/>
      <c r="G363" s="439"/>
      <c r="H363" s="439"/>
      <c r="I363" s="439"/>
      <c r="J363" s="440"/>
    </row>
    <row r="364" spans="1:10" x14ac:dyDescent="0.3">
      <c r="A364" s="247" t="str">
        <f>ORÇAMENTO!A147</f>
        <v>7.2</v>
      </c>
      <c r="B364" s="73" t="str">
        <f>ORÇAMENTO!B147</f>
        <v>GOINFRA</v>
      </c>
      <c r="C364" s="74">
        <f>ORÇAMENTO!C147</f>
        <v>80501</v>
      </c>
      <c r="D364" s="438" t="str">
        <f>ORÇAMENTO!D147</f>
        <v>V A S O S A N I T A R I O / A C E S S O R I O S</v>
      </c>
      <c r="E364" s="439"/>
      <c r="F364" s="439"/>
      <c r="G364" s="439"/>
      <c r="H364" s="439"/>
      <c r="I364" s="439"/>
      <c r="J364" s="440"/>
    </row>
    <row r="365" spans="1:10" ht="28.8" x14ac:dyDescent="0.3">
      <c r="A365" s="247" t="str">
        <f>ORÇAMENTO!A148</f>
        <v>7.3</v>
      </c>
      <c r="B365" s="73" t="str">
        <f>ORÇAMENTO!B148</f>
        <v>GOINFRA</v>
      </c>
      <c r="C365" s="74">
        <f>ORÇAMENTO!C148</f>
        <v>80504</v>
      </c>
      <c r="D365" s="75" t="str">
        <f>ORÇAMENTO!D148</f>
        <v>VASO SANITÁRIO COM CAIXA ACOPLADA COM DUPLO ACIONAMENTO - COMPLETO EXCLUSO O ASSENTO</v>
      </c>
      <c r="E365" s="82" t="str">
        <f>ORÇAMENTO!F148</f>
        <v>und.</v>
      </c>
      <c r="F365" s="354">
        <f>ORÇAMENTO!E148</f>
        <v>32</v>
      </c>
      <c r="G365" s="369"/>
      <c r="H365" s="369"/>
      <c r="I365" s="369"/>
      <c r="J365" s="370"/>
    </row>
    <row r="366" spans="1:10" ht="28.8" x14ac:dyDescent="0.3">
      <c r="A366" s="247" t="str">
        <f>ORÇAMENTO!A149</f>
        <v>7.4</v>
      </c>
      <c r="B366" s="73" t="str">
        <f>ORÇAMENTO!B149</f>
        <v>GOINFRA</v>
      </c>
      <c r="C366" s="74">
        <f>ORÇAMENTO!C149</f>
        <v>80526</v>
      </c>
      <c r="D366" s="75" t="str">
        <f>ORÇAMENTO!D149</f>
        <v xml:space="preserve">ASSENTO EM POLIPROPILENO COM SISTEMA DE FECHAMENTO SUAVE PARA VASO SANITÁRIO </v>
      </c>
      <c r="E366" s="82" t="str">
        <f>ORÇAMENTO!F149</f>
        <v>und.</v>
      </c>
      <c r="F366" s="354">
        <f>ORÇAMENTO!E149</f>
        <v>32</v>
      </c>
      <c r="G366" s="369"/>
      <c r="H366" s="369"/>
      <c r="I366" s="369"/>
      <c r="J366" s="370"/>
    </row>
    <row r="367" spans="1:10" x14ac:dyDescent="0.3">
      <c r="A367" s="247" t="str">
        <f>ORÇAMENTO!A150</f>
        <v>7.5</v>
      </c>
      <c r="B367" s="73" t="str">
        <f>ORÇAMENTO!B150</f>
        <v>GOINFRA</v>
      </c>
      <c r="C367" s="74">
        <f>ORÇAMENTO!C150</f>
        <v>80532</v>
      </c>
      <c r="D367" s="75" t="str">
        <f>ORÇAMENTO!D150</f>
        <v xml:space="preserve">PORTA PAPEL HIGIÊNICO EM METAL/ACABAMENTO CROMADO </v>
      </c>
      <c r="E367" s="82" t="str">
        <f>ORÇAMENTO!F150</f>
        <v>und.</v>
      </c>
      <c r="F367" s="354">
        <f>ORÇAMENTO!E150</f>
        <v>32</v>
      </c>
      <c r="G367" s="369"/>
      <c r="H367" s="369"/>
      <c r="I367" s="369"/>
      <c r="J367" s="370"/>
    </row>
    <row r="368" spans="1:10" x14ac:dyDescent="0.3">
      <c r="A368" s="247" t="str">
        <f>ORÇAMENTO!A151</f>
        <v>7.6</v>
      </c>
      <c r="B368" s="73" t="str">
        <f>ORÇAMENTO!B151</f>
        <v>GOINFRA</v>
      </c>
      <c r="C368" s="74">
        <f>ORÇAMENTO!C151</f>
        <v>80540</v>
      </c>
      <c r="D368" s="75" t="str">
        <f>ORÇAMENTO!D151</f>
        <v>L A V A T O R I O / A C E S S O R I O S</v>
      </c>
      <c r="E368" s="82"/>
      <c r="F368" s="354"/>
      <c r="G368" s="369"/>
      <c r="H368" s="369"/>
      <c r="I368" s="369"/>
      <c r="J368" s="370"/>
    </row>
    <row r="369" spans="1:10" x14ac:dyDescent="0.3">
      <c r="A369" s="247" t="str">
        <f>ORÇAMENTO!A152</f>
        <v>7.7</v>
      </c>
      <c r="B369" s="73" t="str">
        <f>ORÇAMENTO!B152</f>
        <v>GOINFRA</v>
      </c>
      <c r="C369" s="74">
        <f>ORÇAMENTO!C152</f>
        <v>80555</v>
      </c>
      <c r="D369" s="75" t="str">
        <f>ORÇAMENTO!D152</f>
        <v xml:space="preserve">LIGAÇÃO FLEXÍVEL METÁLICA DIAM.1/2"(ENGATE) </v>
      </c>
      <c r="E369" s="82" t="str">
        <f>ORÇAMENTO!F152</f>
        <v>und.</v>
      </c>
      <c r="F369" s="354">
        <f>ORÇAMENTO!E152</f>
        <v>31</v>
      </c>
      <c r="G369" s="369"/>
      <c r="H369" s="369"/>
      <c r="I369" s="369"/>
      <c r="J369" s="370"/>
    </row>
    <row r="370" spans="1:10" x14ac:dyDescent="0.3">
      <c r="A370" s="247" t="str">
        <f>ORÇAMENTO!A153</f>
        <v>7.8</v>
      </c>
      <c r="B370" s="73" t="str">
        <f>ORÇAMENTO!B153</f>
        <v>GOINFRA</v>
      </c>
      <c r="C370" s="74">
        <f>ORÇAMENTO!C153</f>
        <v>80562</v>
      </c>
      <c r="D370" s="75" t="str">
        <f>ORÇAMENTO!D153</f>
        <v xml:space="preserve">SIFAO FLEXIVEL UNIVERSAL ( SANFONADO) EM PVC PARA LAVATORIO </v>
      </c>
      <c r="E370" s="82" t="str">
        <f>ORÇAMENTO!F153</f>
        <v>und.</v>
      </c>
      <c r="F370" s="354">
        <f>ORÇAMENTO!E153</f>
        <v>31</v>
      </c>
      <c r="G370" s="369"/>
      <c r="H370" s="369"/>
      <c r="I370" s="369"/>
      <c r="J370" s="370"/>
    </row>
    <row r="371" spans="1:10" x14ac:dyDescent="0.3">
      <c r="A371" s="247" t="str">
        <f>ORÇAMENTO!A154</f>
        <v>7.9</v>
      </c>
      <c r="B371" s="73" t="str">
        <f>ORÇAMENTO!B154</f>
        <v>GOINFRA</v>
      </c>
      <c r="C371" s="74">
        <f>ORÇAMENTO!C154</f>
        <v>80570</v>
      </c>
      <c r="D371" s="75" t="str">
        <f>ORÇAMENTO!D154</f>
        <v xml:space="preserve">TORNEIRA DE MESA PARA LAVATÓRIO DIÂMETRO DE 1/2" </v>
      </c>
      <c r="E371" s="82" t="str">
        <f>ORÇAMENTO!F154</f>
        <v>und.</v>
      </c>
      <c r="F371" s="354">
        <f>ORÇAMENTO!E154</f>
        <v>31</v>
      </c>
      <c r="G371" s="369"/>
      <c r="H371" s="369"/>
      <c r="I371" s="369"/>
      <c r="J371" s="370"/>
    </row>
    <row r="372" spans="1:10" x14ac:dyDescent="0.3">
      <c r="A372" s="247" t="str">
        <f>ORÇAMENTO!A155</f>
        <v>7.10</v>
      </c>
      <c r="B372" s="73" t="str">
        <f>ORÇAMENTO!B155</f>
        <v>GOINFRA</v>
      </c>
      <c r="C372" s="74">
        <f>ORÇAMENTO!C155</f>
        <v>80590</v>
      </c>
      <c r="D372" s="75" t="str">
        <f>ORÇAMENTO!D155</f>
        <v xml:space="preserve"> CUBA DE LOUCA DE EMBUTIR OVAL MÉDIA </v>
      </c>
      <c r="E372" s="82" t="str">
        <f>ORÇAMENTO!F155</f>
        <v>und.</v>
      </c>
      <c r="F372" s="354">
        <f>ORÇAMENTO!E155</f>
        <v>31</v>
      </c>
      <c r="G372" s="369"/>
      <c r="H372" s="369"/>
      <c r="I372" s="369"/>
      <c r="J372" s="370"/>
    </row>
    <row r="373" spans="1:10" x14ac:dyDescent="0.3">
      <c r="A373" s="247" t="str">
        <f>ORÇAMENTO!A156</f>
        <v>7.11</v>
      </c>
      <c r="B373" s="73" t="str">
        <f>ORÇAMENTO!B156</f>
        <v>GOINFRA</v>
      </c>
      <c r="C373" s="74">
        <f>ORÇAMENTO!C156</f>
        <v>80600</v>
      </c>
      <c r="D373" s="75" t="str">
        <f>ORÇAMENTO!D156</f>
        <v>M I C T O R I O/A C E S S O R I O S</v>
      </c>
      <c r="E373" s="82"/>
      <c r="F373" s="354"/>
      <c r="G373" s="369"/>
      <c r="H373" s="369"/>
      <c r="I373" s="369"/>
      <c r="J373" s="370"/>
    </row>
    <row r="374" spans="1:10" x14ac:dyDescent="0.3">
      <c r="A374" s="247" t="str">
        <f>ORÇAMENTO!A157</f>
        <v>7.12</v>
      </c>
      <c r="B374" s="73" t="str">
        <f>ORÇAMENTO!B157</f>
        <v>GOINFRA</v>
      </c>
      <c r="C374" s="74">
        <f>ORÇAMENTO!C157</f>
        <v>80601</v>
      </c>
      <c r="D374" s="75" t="str">
        <f>ORÇAMENTO!D157</f>
        <v xml:space="preserve">MICTORIO DE LOUCA C/SIFAO INTEGRADO </v>
      </c>
      <c r="E374" s="82" t="str">
        <f>ORÇAMENTO!F157</f>
        <v>und.</v>
      </c>
      <c r="F374" s="354">
        <f>ORÇAMENTO!E157</f>
        <v>2</v>
      </c>
      <c r="G374" s="369"/>
      <c r="H374" s="369"/>
      <c r="I374" s="369"/>
      <c r="J374" s="370"/>
    </row>
    <row r="375" spans="1:10" x14ac:dyDescent="0.3">
      <c r="A375" s="247" t="str">
        <f>ORÇAMENTO!A158</f>
        <v>7.13</v>
      </c>
      <c r="B375" s="73" t="str">
        <f>ORÇAMENTO!B158</f>
        <v>GOINFRA</v>
      </c>
      <c r="C375" s="74">
        <f>ORÇAMENTO!C158</f>
        <v>80610</v>
      </c>
      <c r="D375" s="75" t="str">
        <f>ORÇAMENTO!D158</f>
        <v xml:space="preserve"> KIT FERR.P/MICT.LOUCA (ESPUDE,CONEXÃO ENTR.PARAFUSOS) </v>
      </c>
      <c r="E375" s="82" t="str">
        <f>ORÇAMENTO!F158</f>
        <v>und.</v>
      </c>
      <c r="F375" s="354">
        <f>ORÇAMENTO!E158</f>
        <v>2</v>
      </c>
      <c r="G375" s="369"/>
      <c r="H375" s="369"/>
      <c r="I375" s="369"/>
      <c r="J375" s="370"/>
    </row>
    <row r="376" spans="1:10" ht="28.8" x14ac:dyDescent="0.3">
      <c r="A376" s="247" t="str">
        <f>ORÇAMENTO!A159</f>
        <v>7.14</v>
      </c>
      <c r="B376" s="73" t="str">
        <f>ORÇAMENTO!B159</f>
        <v>GOINFRA</v>
      </c>
      <c r="C376" s="74">
        <f>ORÇAMENTO!C159</f>
        <v>80621</v>
      </c>
      <c r="D376" s="75" t="str">
        <f>ORÇAMENTO!D159</f>
        <v>VÁLVULA DE DESCARGA PARA MICTÓRIO DIÂMETRO 1/2" FECHAMENTO AUTOMÁTICO TEMPORIZADO</v>
      </c>
      <c r="E376" s="82" t="str">
        <f>ORÇAMENTO!F159</f>
        <v>und.</v>
      </c>
      <c r="F376" s="354">
        <f>ORÇAMENTO!E159</f>
        <v>2</v>
      </c>
      <c r="G376" s="369"/>
      <c r="H376" s="369"/>
      <c r="I376" s="369"/>
      <c r="J376" s="370"/>
    </row>
    <row r="377" spans="1:10" x14ac:dyDescent="0.3">
      <c r="A377" s="247" t="str">
        <f>ORÇAMENTO!A160</f>
        <v>7.15</v>
      </c>
      <c r="B377" s="73" t="str">
        <f>ORÇAMENTO!B160</f>
        <v>GOINFRA</v>
      </c>
      <c r="C377" s="74">
        <f>ORÇAMENTO!C160</f>
        <v>80650</v>
      </c>
      <c r="D377" s="75" t="str">
        <f>ORÇAMENTO!D160</f>
        <v>P I A / A C E S S O R I O S</v>
      </c>
      <c r="E377" s="82"/>
      <c r="F377" s="354"/>
      <c r="G377" s="369"/>
      <c r="H377" s="369"/>
      <c r="I377" s="369"/>
      <c r="J377" s="370"/>
    </row>
    <row r="378" spans="1:10" x14ac:dyDescent="0.3">
      <c r="A378" s="247" t="str">
        <f>ORÇAMENTO!A161</f>
        <v>7.16</v>
      </c>
      <c r="B378" s="73" t="str">
        <f>ORÇAMENTO!B161</f>
        <v>GOINFRA</v>
      </c>
      <c r="C378" s="74">
        <f>ORÇAMENTO!C161</f>
        <v>80656</v>
      </c>
      <c r="D378" s="75" t="str">
        <f>ORÇAMENTO!D161</f>
        <v xml:space="preserve">TORNEIRA DE MESA PARA PIA DIÂMETRO DE 1/2" - BICA MÓVEL </v>
      </c>
      <c r="E378" s="82" t="str">
        <f>ORÇAMENTO!F161</f>
        <v>und.</v>
      </c>
      <c r="F378" s="354">
        <f>ORÇAMENTO!E161</f>
        <v>4</v>
      </c>
      <c r="G378" s="369"/>
      <c r="H378" s="369"/>
      <c r="I378" s="369"/>
      <c r="J378" s="370"/>
    </row>
    <row r="379" spans="1:10" x14ac:dyDescent="0.3">
      <c r="A379" s="247" t="str">
        <f>ORÇAMENTO!A162</f>
        <v>7.17</v>
      </c>
      <c r="B379" s="73" t="str">
        <f>ORÇAMENTO!B162</f>
        <v>GOINFRA</v>
      </c>
      <c r="C379" s="74">
        <f>ORÇAMENTO!C162</f>
        <v>80672</v>
      </c>
      <c r="D379" s="75" t="str">
        <f>ORÇAMENTO!D162</f>
        <v xml:space="preserve">SIFAO P/PIA 1.1/2"X2" PVC CROMADO </v>
      </c>
      <c r="E379" s="82" t="str">
        <f>ORÇAMENTO!F162</f>
        <v>und.</v>
      </c>
      <c r="F379" s="354">
        <f>ORÇAMENTO!E162</f>
        <v>4</v>
      </c>
      <c r="G379" s="369"/>
      <c r="H379" s="369"/>
      <c r="I379" s="369"/>
      <c r="J379" s="370"/>
    </row>
    <row r="380" spans="1:10" x14ac:dyDescent="0.3">
      <c r="A380" s="247" t="str">
        <f>ORÇAMENTO!A163</f>
        <v>7.18</v>
      </c>
      <c r="B380" s="73" t="str">
        <f>ORÇAMENTO!B163</f>
        <v>GOINFRA</v>
      </c>
      <c r="C380" s="74">
        <f>ORÇAMENTO!C163</f>
        <v>80680</v>
      </c>
      <c r="D380" s="75" t="str">
        <f>ORÇAMENTO!D163</f>
        <v>VALVULA P/PIA TIPO AMERICANA DIAM.3.1/2" (METAL)</v>
      </c>
      <c r="E380" s="82" t="str">
        <f>ORÇAMENTO!F163</f>
        <v>und.</v>
      </c>
      <c r="F380" s="354">
        <f>ORÇAMENTO!E163</f>
        <v>4</v>
      </c>
      <c r="G380" s="369"/>
      <c r="H380" s="369"/>
      <c r="I380" s="369"/>
      <c r="J380" s="370"/>
    </row>
    <row r="381" spans="1:10" x14ac:dyDescent="0.3">
      <c r="A381" s="247" t="str">
        <f>ORÇAMENTO!A164</f>
        <v>7.19</v>
      </c>
      <c r="B381" s="73" t="str">
        <f>ORÇAMENTO!B164</f>
        <v>GOINFRA</v>
      </c>
      <c r="C381" s="74">
        <f>ORÇAMENTO!C164</f>
        <v>80688</v>
      </c>
      <c r="D381" s="75" t="str">
        <f>ORÇAMENTO!D164</f>
        <v xml:space="preserve">CUBA INOX 46X30X15CM E=0,6MM-AÇO 304 (CUBA Nº 1) </v>
      </c>
      <c r="E381" s="82" t="str">
        <f>ORÇAMENTO!F164</f>
        <v>und.</v>
      </c>
      <c r="F381" s="354">
        <f>ORÇAMENTO!E164</f>
        <v>3</v>
      </c>
      <c r="G381" s="369"/>
      <c r="H381" s="369"/>
      <c r="I381" s="369"/>
      <c r="J381" s="370"/>
    </row>
    <row r="382" spans="1:10" x14ac:dyDescent="0.3">
      <c r="A382" s="247" t="str">
        <f>ORÇAMENTO!A165</f>
        <v>7.20</v>
      </c>
      <c r="B382" s="73" t="str">
        <f>ORÇAMENTO!B165</f>
        <v>GOINFRA</v>
      </c>
      <c r="C382" s="74">
        <f>ORÇAMENTO!C165</f>
        <v>80693</v>
      </c>
      <c r="D382" s="75" t="str">
        <f>ORÇAMENTO!D165</f>
        <v xml:space="preserve">TANQUE (PANELAO) INOX 60 X 70 X 40 CM CH.18 </v>
      </c>
      <c r="E382" s="82" t="str">
        <f>ORÇAMENTO!F165</f>
        <v>und.</v>
      </c>
      <c r="F382" s="354">
        <f>ORÇAMENTO!E165</f>
        <v>1</v>
      </c>
      <c r="G382" s="369"/>
      <c r="H382" s="369"/>
      <c r="I382" s="369"/>
      <c r="J382" s="370"/>
    </row>
    <row r="383" spans="1:10" x14ac:dyDescent="0.3">
      <c r="A383" s="247" t="str">
        <f>ORÇAMENTO!A166</f>
        <v>7.21</v>
      </c>
      <c r="B383" s="73" t="str">
        <f>ORÇAMENTO!B166</f>
        <v>GOINFRA</v>
      </c>
      <c r="C383" s="74">
        <f>ORÇAMENTO!C166</f>
        <v>80720</v>
      </c>
      <c r="D383" s="75" t="str">
        <f>ORÇAMENTO!D166</f>
        <v>F I L T R O / C H U V E I R O</v>
      </c>
      <c r="E383" s="82"/>
      <c r="F383" s="354"/>
      <c r="G383" s="369"/>
      <c r="H383" s="369"/>
      <c r="I383" s="369"/>
      <c r="J383" s="370"/>
    </row>
    <row r="384" spans="1:10" x14ac:dyDescent="0.3">
      <c r="A384" s="247" t="str">
        <f>ORÇAMENTO!A167</f>
        <v>7.22</v>
      </c>
      <c r="B384" s="73" t="str">
        <f>ORÇAMENTO!B167</f>
        <v>GOINFRA</v>
      </c>
      <c r="C384" s="74">
        <f>ORÇAMENTO!C167</f>
        <v>80721</v>
      </c>
      <c r="D384" s="75" t="str">
        <f>ORÇAMENTO!D167</f>
        <v xml:space="preserve">CHUVEIRO ELÉTRICO EM PVC COM BRAÇO METÁLICO </v>
      </c>
      <c r="E384" s="82" t="str">
        <f>ORÇAMENTO!F167</f>
        <v>und.</v>
      </c>
      <c r="F384" s="354">
        <f>ORÇAMENTO!E167</f>
        <v>23</v>
      </c>
      <c r="G384" s="369"/>
      <c r="H384" s="369"/>
      <c r="I384" s="369"/>
      <c r="J384" s="370"/>
    </row>
    <row r="385" spans="1:10" x14ac:dyDescent="0.3">
      <c r="A385" s="247" t="str">
        <f>ORÇAMENTO!A168</f>
        <v>7.23</v>
      </c>
      <c r="B385" s="73" t="str">
        <f>ORÇAMENTO!B168</f>
        <v>GOINFRA</v>
      </c>
      <c r="C385" s="74">
        <f>ORÇAMENTO!C168</f>
        <v>80722</v>
      </c>
      <c r="D385" s="75" t="str">
        <f>ORÇAMENTO!D168</f>
        <v>PORTA TOALHA HASTE LONGA EM METAL/ACABAMENTO CROMADO</v>
      </c>
      <c r="E385" s="245" t="str">
        <f>ORÇAMENTO!F168</f>
        <v>und.</v>
      </c>
      <c r="F385" s="354">
        <f>ORÇAMENTO!E168</f>
        <v>23</v>
      </c>
      <c r="G385" s="369"/>
      <c r="H385" s="369"/>
      <c r="I385" s="369"/>
      <c r="J385" s="370"/>
    </row>
    <row r="386" spans="1:10" x14ac:dyDescent="0.3">
      <c r="A386" s="247" t="str">
        <f>ORÇAMENTO!A169</f>
        <v>7.24</v>
      </c>
      <c r="B386" s="73" t="str">
        <f>ORÇAMENTO!B169</f>
        <v>GOINFRA</v>
      </c>
      <c r="C386" s="74">
        <f>ORÇAMENTO!C169</f>
        <v>80741</v>
      </c>
      <c r="D386" s="75" t="str">
        <f>ORÇAMENTO!D169</f>
        <v>SABONETEIRA EM METAL / ACABAMENTO CROMADO</v>
      </c>
      <c r="E386" s="245" t="str">
        <f>ORÇAMENTO!F169</f>
        <v>und.</v>
      </c>
      <c r="F386" s="354">
        <f>ORÇAMENTO!E169</f>
        <v>23</v>
      </c>
      <c r="G386" s="369"/>
      <c r="H386" s="369"/>
      <c r="I386" s="369"/>
      <c r="J386" s="370"/>
    </row>
    <row r="387" spans="1:10" x14ac:dyDescent="0.3">
      <c r="A387" s="247" t="str">
        <f>ORÇAMENTO!A170</f>
        <v>7.25</v>
      </c>
      <c r="B387" s="73" t="str">
        <f>ORÇAMENTO!B170</f>
        <v>GOINFRA</v>
      </c>
      <c r="C387" s="74">
        <f>ORÇAMENTO!C170</f>
        <v>80800</v>
      </c>
      <c r="D387" s="75" t="str">
        <f>ORÇAMENTO!D170</f>
        <v xml:space="preserve"> T A N Q U E S / T O R N E I R A S J A R D I M S</v>
      </c>
      <c r="E387" s="82"/>
      <c r="F387" s="354"/>
      <c r="G387" s="369"/>
      <c r="H387" s="369"/>
      <c r="I387" s="369"/>
      <c r="J387" s="370"/>
    </row>
    <row r="388" spans="1:10" x14ac:dyDescent="0.3">
      <c r="A388" s="247" t="str">
        <f>ORÇAMENTO!A171</f>
        <v>7.26</v>
      </c>
      <c r="B388" s="73" t="str">
        <f>ORÇAMENTO!B171</f>
        <v>GOINFRA</v>
      </c>
      <c r="C388" s="74">
        <f>ORÇAMENTO!C171</f>
        <v>80802</v>
      </c>
      <c r="D388" s="75" t="str">
        <f>ORÇAMENTO!D171</f>
        <v>TANQUE MARMORE/GRANITO SINTÉTICO C/DUAS CUBAS E 1 BATEDOR</v>
      </c>
      <c r="E388" s="82" t="str">
        <f>ORÇAMENTO!F171</f>
        <v>und.</v>
      </c>
      <c r="F388" s="354">
        <f>ORÇAMENTO!E171</f>
        <v>1</v>
      </c>
      <c r="G388" s="369"/>
      <c r="H388" s="369"/>
      <c r="I388" s="369"/>
      <c r="J388" s="370"/>
    </row>
    <row r="389" spans="1:10" x14ac:dyDescent="0.3">
      <c r="A389" s="247" t="str">
        <f>ORÇAMENTO!A172</f>
        <v>7.27</v>
      </c>
      <c r="B389" s="73" t="str">
        <f>ORÇAMENTO!B172</f>
        <v>GOINFRA</v>
      </c>
      <c r="C389" s="74">
        <f>ORÇAMENTO!C172</f>
        <v>80810</v>
      </c>
      <c r="D389" s="75" t="str">
        <f>ORÇAMENTO!D172</f>
        <v>TORNEIRA DE PAREDE PARA TANQUE COM AREJADOR DIÂMETRO DE 1/2" E 3/4"</v>
      </c>
      <c r="E389" s="82" t="str">
        <f>ORÇAMENTO!F172</f>
        <v>und.</v>
      </c>
      <c r="F389" s="354">
        <f>ORÇAMENTO!E172</f>
        <v>3</v>
      </c>
      <c r="G389" s="369"/>
      <c r="H389" s="369"/>
      <c r="I389" s="369"/>
      <c r="J389" s="370"/>
    </row>
    <row r="390" spans="1:10" x14ac:dyDescent="0.3">
      <c r="A390" s="247" t="str">
        <f>ORÇAMENTO!A173</f>
        <v>7.28</v>
      </c>
      <c r="B390" s="73" t="str">
        <f>ORÇAMENTO!B173</f>
        <v>GOINFRA</v>
      </c>
      <c r="C390" s="74">
        <f>ORÇAMENTO!C173</f>
        <v>80811</v>
      </c>
      <c r="D390" s="75" t="str">
        <f>ORÇAMENTO!D173</f>
        <v xml:space="preserve">TORNEIRA DE JARDIM COM BICO PARA MANGUEIRA DIÂMETRO DE 1/2" E 3/4" </v>
      </c>
      <c r="E390" s="82" t="str">
        <f>ORÇAMENTO!F173</f>
        <v>und.</v>
      </c>
      <c r="F390" s="354">
        <f>ORÇAMENTO!E173</f>
        <v>2</v>
      </c>
      <c r="G390" s="369"/>
      <c r="H390" s="369"/>
      <c r="I390" s="369"/>
      <c r="J390" s="370"/>
    </row>
    <row r="391" spans="1:10" x14ac:dyDescent="0.3">
      <c r="A391" s="247" t="str">
        <f>ORÇAMENTO!A174</f>
        <v>7.29</v>
      </c>
      <c r="B391" s="73" t="str">
        <f>ORÇAMENTO!B174</f>
        <v>GOINFRA</v>
      </c>
      <c r="C391" s="74">
        <f>ORÇAMENTO!C174</f>
        <v>80820</v>
      </c>
      <c r="D391" s="75" t="str">
        <f>ORÇAMENTO!D174</f>
        <v xml:space="preserve">SIFAO P/TANQUE 1" X 1.1/2" - PVC </v>
      </c>
      <c r="E391" s="82" t="str">
        <f>ORÇAMENTO!F174</f>
        <v>und.</v>
      </c>
      <c r="F391" s="354">
        <f>ORÇAMENTO!E174</f>
        <v>3</v>
      </c>
      <c r="G391" s="369"/>
      <c r="H391" s="369"/>
      <c r="I391" s="369"/>
      <c r="J391" s="370"/>
    </row>
    <row r="392" spans="1:10" x14ac:dyDescent="0.3">
      <c r="A392" s="247" t="str">
        <f>ORÇAMENTO!A175</f>
        <v>7.30</v>
      </c>
      <c r="B392" s="73" t="str">
        <f>ORÇAMENTO!B175</f>
        <v>GOINFRA</v>
      </c>
      <c r="C392" s="74">
        <f>ORÇAMENTO!C175</f>
        <v>80830</v>
      </c>
      <c r="D392" s="75" t="str">
        <f>ORÇAMENTO!D175</f>
        <v xml:space="preserve">VALVULA P/TANQUE METALICA DIAM.1" S/LADRAO </v>
      </c>
      <c r="E392" s="82" t="str">
        <f>ORÇAMENTO!F175</f>
        <v>und.</v>
      </c>
      <c r="F392" s="354">
        <f>ORÇAMENTO!E175</f>
        <v>3</v>
      </c>
      <c r="G392" s="369"/>
      <c r="H392" s="369"/>
      <c r="I392" s="369"/>
      <c r="J392" s="370"/>
    </row>
    <row r="393" spans="1:10" x14ac:dyDescent="0.3">
      <c r="A393" s="247" t="str">
        <f>ORÇAMENTO!A176</f>
        <v>7.31</v>
      </c>
      <c r="B393" s="73" t="str">
        <f>ORÇAMENTO!B176</f>
        <v>GOINFRA</v>
      </c>
      <c r="C393" s="74">
        <f>ORÇAMENTO!C176</f>
        <v>80900</v>
      </c>
      <c r="D393" s="75" t="str">
        <f>ORÇAMENTO!D176</f>
        <v>R E G I S T R O S</v>
      </c>
      <c r="E393" s="82"/>
      <c r="F393" s="354"/>
      <c r="G393" s="369"/>
      <c r="H393" s="369"/>
      <c r="I393" s="369"/>
      <c r="J393" s="370"/>
    </row>
    <row r="394" spans="1:10" x14ac:dyDescent="0.3">
      <c r="A394" s="247" t="str">
        <f>ORÇAMENTO!A177</f>
        <v>7.32</v>
      </c>
      <c r="B394" s="73" t="str">
        <f>ORÇAMENTO!B177</f>
        <v>GOINFRA</v>
      </c>
      <c r="C394" s="74">
        <f>ORÇAMENTO!C177</f>
        <v>80902</v>
      </c>
      <c r="D394" s="75" t="str">
        <f>ORÇAMENTO!D177</f>
        <v xml:space="preserve">REGISTRO DE GAVETA BRUTO DIAMETRO 3/4" </v>
      </c>
      <c r="E394" s="82" t="str">
        <f>ORÇAMENTO!F177</f>
        <v>und.</v>
      </c>
      <c r="F394" s="354">
        <f>ORÇAMENTO!E177</f>
        <v>4</v>
      </c>
      <c r="G394" s="369"/>
      <c r="H394" s="369"/>
      <c r="I394" s="369"/>
      <c r="J394" s="370"/>
    </row>
    <row r="395" spans="1:10" x14ac:dyDescent="0.3">
      <c r="A395" s="247" t="str">
        <f>ORÇAMENTO!A178</f>
        <v>7.33</v>
      </c>
      <c r="B395" s="73" t="str">
        <f>ORÇAMENTO!B178</f>
        <v>GOINFRA</v>
      </c>
      <c r="C395" s="74">
        <f>ORÇAMENTO!C178</f>
        <v>80903</v>
      </c>
      <c r="D395" s="75" t="str">
        <f>ORÇAMENTO!D178</f>
        <v xml:space="preserve">REGISTRO DE GAVETA BRUTO DIAMETRO 1" </v>
      </c>
      <c r="E395" s="82" t="str">
        <f>ORÇAMENTO!F178</f>
        <v>und.</v>
      </c>
      <c r="F395" s="354">
        <f>ORÇAMENTO!E178</f>
        <v>3</v>
      </c>
      <c r="G395" s="369"/>
      <c r="H395" s="369"/>
      <c r="I395" s="369"/>
      <c r="J395" s="370"/>
    </row>
    <row r="396" spans="1:10" x14ac:dyDescent="0.3">
      <c r="A396" s="247" t="str">
        <f>ORÇAMENTO!A179</f>
        <v>7.34</v>
      </c>
      <c r="B396" s="73" t="str">
        <f>ORÇAMENTO!B179</f>
        <v>GOINFRA</v>
      </c>
      <c r="C396" s="74">
        <f>ORÇAMENTO!C179</f>
        <v>80904</v>
      </c>
      <c r="D396" s="75" t="str">
        <f>ORÇAMENTO!D179</f>
        <v>REGISTRO DE GAVETA BRUTO DIAMETRO 1.1/4"</v>
      </c>
      <c r="E396" s="82" t="str">
        <f>ORÇAMENTO!F179</f>
        <v>und.</v>
      </c>
      <c r="F396" s="354">
        <f>ORÇAMENTO!E179</f>
        <v>7</v>
      </c>
      <c r="G396" s="369"/>
      <c r="H396" s="369"/>
      <c r="I396" s="369"/>
      <c r="J396" s="370"/>
    </row>
    <row r="397" spans="1:10" x14ac:dyDescent="0.3">
      <c r="A397" s="247" t="str">
        <f>ORÇAMENTO!A180</f>
        <v>7.35</v>
      </c>
      <c r="B397" s="73" t="str">
        <f>ORÇAMENTO!B180</f>
        <v>GOINFRA</v>
      </c>
      <c r="C397" s="74">
        <f>ORÇAMENTO!C180</f>
        <v>80905</v>
      </c>
      <c r="D397" s="75" t="str">
        <f>ORÇAMENTO!D180</f>
        <v xml:space="preserve">REGISTRO DE GAVETA BRUTO DIAMETRO 1.1/2" </v>
      </c>
      <c r="E397" s="82" t="str">
        <f>ORÇAMENTO!F180</f>
        <v>und.</v>
      </c>
      <c r="F397" s="354">
        <f>ORÇAMENTO!E180</f>
        <v>6</v>
      </c>
      <c r="G397" s="369"/>
      <c r="H397" s="369"/>
      <c r="I397" s="369"/>
      <c r="J397" s="370"/>
    </row>
    <row r="398" spans="1:10" x14ac:dyDescent="0.3">
      <c r="A398" s="247" t="str">
        <f>ORÇAMENTO!A181</f>
        <v>7.36</v>
      </c>
      <c r="B398" s="73" t="str">
        <f>ORÇAMENTO!B181</f>
        <v>GOINFRA</v>
      </c>
      <c r="C398" s="74">
        <f>ORÇAMENTO!C181</f>
        <v>80906</v>
      </c>
      <c r="D398" s="75" t="str">
        <f>ORÇAMENTO!D181</f>
        <v>REGISTRO DE GAVETA BRUTO DIAMETRO 2"</v>
      </c>
      <c r="E398" s="82" t="str">
        <f>ORÇAMENTO!F181</f>
        <v>und.</v>
      </c>
      <c r="F398" s="354">
        <f>ORÇAMENTO!E181</f>
        <v>3</v>
      </c>
      <c r="G398" s="369"/>
      <c r="H398" s="369"/>
      <c r="I398" s="369"/>
      <c r="J398" s="370"/>
    </row>
    <row r="399" spans="1:10" x14ac:dyDescent="0.3">
      <c r="A399" s="247" t="str">
        <f>ORÇAMENTO!A182</f>
        <v>7.37</v>
      </c>
      <c r="B399" s="73" t="str">
        <f>ORÇAMENTO!B182</f>
        <v>GOINFRA</v>
      </c>
      <c r="C399" s="74">
        <f>ORÇAMENTO!C182</f>
        <v>80926</v>
      </c>
      <c r="D399" s="75" t="str">
        <f>ORÇAMENTO!D182</f>
        <v xml:space="preserve">REGISTRO DE GAVETA C/CANOPLA DIAMETRO 3/4" </v>
      </c>
      <c r="E399" s="82" t="str">
        <f>ORÇAMENTO!F182</f>
        <v>und.</v>
      </c>
      <c r="F399" s="354">
        <f>ORÇAMENTO!E182</f>
        <v>19</v>
      </c>
      <c r="G399" s="369"/>
      <c r="H399" s="369"/>
      <c r="I399" s="369"/>
      <c r="J399" s="370"/>
    </row>
    <row r="400" spans="1:10" x14ac:dyDescent="0.3">
      <c r="A400" s="247" t="str">
        <f>ORÇAMENTO!A183</f>
        <v>7.38</v>
      </c>
      <c r="B400" s="73" t="str">
        <f>ORÇAMENTO!B183</f>
        <v>GOINFRA</v>
      </c>
      <c r="C400" s="74">
        <f>ORÇAMENTO!C183</f>
        <v>80927</v>
      </c>
      <c r="D400" s="75" t="str">
        <f>ORÇAMENTO!D183</f>
        <v xml:space="preserve">REGISTRO DE GAVETA C/CANOPLA DIAMETRO 1" </v>
      </c>
      <c r="E400" s="82" t="str">
        <f>ORÇAMENTO!F183</f>
        <v>und.</v>
      </c>
      <c r="F400" s="354">
        <f>ORÇAMENTO!E183</f>
        <v>10</v>
      </c>
      <c r="G400" s="369"/>
      <c r="H400" s="369"/>
      <c r="I400" s="369"/>
      <c r="J400" s="370"/>
    </row>
    <row r="401" spans="1:10" x14ac:dyDescent="0.3">
      <c r="A401" s="247" t="str">
        <f>ORÇAMENTO!A184</f>
        <v>7.39</v>
      </c>
      <c r="B401" s="73" t="str">
        <f>ORÇAMENTO!B184</f>
        <v>GOINFRA</v>
      </c>
      <c r="C401" s="74">
        <f>ORÇAMENTO!C184</f>
        <v>80928</v>
      </c>
      <c r="D401" s="75" t="str">
        <f>ORÇAMENTO!D184</f>
        <v xml:space="preserve">REGISTRO DE GAVETA C/CANOPLA DIAMETRO 1.1/4" </v>
      </c>
      <c r="E401" s="82" t="str">
        <f>ORÇAMENTO!F184</f>
        <v>und.</v>
      </c>
      <c r="F401" s="354">
        <f>ORÇAMENTO!E184</f>
        <v>1</v>
      </c>
      <c r="G401" s="369"/>
      <c r="H401" s="369"/>
      <c r="I401" s="369"/>
      <c r="J401" s="370"/>
    </row>
    <row r="402" spans="1:10" x14ac:dyDescent="0.3">
      <c r="A402" s="247" t="str">
        <f>ORÇAMENTO!A185</f>
        <v>7.40</v>
      </c>
      <c r="B402" s="73" t="str">
        <f>ORÇAMENTO!B185</f>
        <v>GOINFRA</v>
      </c>
      <c r="C402" s="74">
        <f>ORÇAMENTO!C185</f>
        <v>80946</v>
      </c>
      <c r="D402" s="75" t="str">
        <f>ORÇAMENTO!D185</f>
        <v xml:space="preserve">REGISTRO DE PRESSAO C/CANOPLA CROMADA DIAM.3/4" </v>
      </c>
      <c r="E402" s="82" t="str">
        <f>ORÇAMENTO!F185</f>
        <v>und.</v>
      </c>
      <c r="F402" s="354">
        <f>ORÇAMENTO!E185</f>
        <v>23</v>
      </c>
      <c r="G402" s="369"/>
      <c r="H402" s="369"/>
      <c r="I402" s="369"/>
      <c r="J402" s="370"/>
    </row>
    <row r="403" spans="1:10" x14ac:dyDescent="0.3">
      <c r="A403" s="247" t="str">
        <f>ORÇAMENTO!A186</f>
        <v>7.41</v>
      </c>
      <c r="B403" s="73" t="str">
        <f>ORÇAMENTO!B186</f>
        <v>GOINFRA</v>
      </c>
      <c r="C403" s="74">
        <f>ORÇAMENTO!C186</f>
        <v>80976</v>
      </c>
      <c r="D403" s="75" t="str">
        <f>ORÇAMENTO!D186</f>
        <v xml:space="preserve">REGISTRO DE ESFERA DIAMETRO 3/4" </v>
      </c>
      <c r="E403" s="82" t="str">
        <f>ORÇAMENTO!F186</f>
        <v>und.</v>
      </c>
      <c r="F403" s="354">
        <f>ORÇAMENTO!E186</f>
        <v>2</v>
      </c>
      <c r="G403" s="369"/>
      <c r="H403" s="369"/>
      <c r="I403" s="369"/>
      <c r="J403" s="370"/>
    </row>
    <row r="404" spans="1:10" x14ac:dyDescent="0.3">
      <c r="A404" s="247" t="str">
        <f>ORÇAMENTO!A187</f>
        <v>7.42</v>
      </c>
      <c r="B404" s="73" t="str">
        <f>ORÇAMENTO!B187</f>
        <v>GOINFRA</v>
      </c>
      <c r="C404" s="74">
        <f>ORÇAMENTO!C187</f>
        <v>80975</v>
      </c>
      <c r="D404" s="75" t="str">
        <f>ORÇAMENTO!D187</f>
        <v>REGISTRO DE ESFERA DIAM.1/2"</v>
      </c>
      <c r="E404" s="82" t="str">
        <f>ORÇAMENTO!F187</f>
        <v>und.</v>
      </c>
      <c r="F404" s="354">
        <f>ORÇAMENTO!E187</f>
        <v>1</v>
      </c>
      <c r="G404" s="369"/>
      <c r="H404" s="369"/>
      <c r="I404" s="369"/>
      <c r="J404" s="370"/>
    </row>
    <row r="405" spans="1:10" x14ac:dyDescent="0.3">
      <c r="A405" s="247" t="str">
        <f>ORÇAMENTO!A188</f>
        <v>7.43</v>
      </c>
      <c r="B405" s="73" t="str">
        <f>ORÇAMENTO!B188</f>
        <v>GOINFRA</v>
      </c>
      <c r="C405" s="74">
        <f>ORÇAMENTO!C188</f>
        <v>81000</v>
      </c>
      <c r="D405" s="75" t="str">
        <f>ORÇAMENTO!D188</f>
        <v>AGUA FRIA</v>
      </c>
      <c r="E405" s="82"/>
      <c r="F405" s="354"/>
      <c r="G405" s="369"/>
      <c r="H405" s="369"/>
      <c r="I405" s="369"/>
      <c r="J405" s="370"/>
    </row>
    <row r="406" spans="1:10" x14ac:dyDescent="0.3">
      <c r="A406" s="247" t="str">
        <f>ORÇAMENTO!A189</f>
        <v>7.44</v>
      </c>
      <c r="B406" s="73" t="str">
        <f>ORÇAMENTO!B189</f>
        <v>GOINFRA</v>
      </c>
      <c r="C406" s="74">
        <f>ORÇAMENTO!C189</f>
        <v>81001</v>
      </c>
      <c r="D406" s="75" t="str">
        <f>ORÇAMENTO!D189</f>
        <v>T U B O S DE P V C S O L D A V E L</v>
      </c>
      <c r="E406" s="82"/>
      <c r="F406" s="354"/>
      <c r="G406" s="369"/>
      <c r="H406" s="369"/>
      <c r="I406" s="369"/>
      <c r="J406" s="370"/>
    </row>
    <row r="407" spans="1:10" x14ac:dyDescent="0.3">
      <c r="A407" s="247" t="str">
        <f>ORÇAMENTO!A190</f>
        <v>7.45</v>
      </c>
      <c r="B407" s="73" t="str">
        <f>ORÇAMENTO!B190</f>
        <v>GOINFRA</v>
      </c>
      <c r="C407" s="74">
        <f>ORÇAMENTO!C190</f>
        <v>81002</v>
      </c>
      <c r="D407" s="75" t="str">
        <f>ORÇAMENTO!D190</f>
        <v xml:space="preserve">TUBO SOLDAVEL PVC MARROM DIAMETRO 20 mm </v>
      </c>
      <c r="E407" s="82" t="str">
        <f>ORÇAMENTO!F190</f>
        <v xml:space="preserve">m </v>
      </c>
      <c r="F407" s="354">
        <f>ORÇAMENTO!E190</f>
        <v>0.91999999999999993</v>
      </c>
      <c r="G407" s="369"/>
      <c r="H407" s="369"/>
      <c r="I407" s="369"/>
      <c r="J407" s="370"/>
    </row>
    <row r="408" spans="1:10" x14ac:dyDescent="0.3">
      <c r="A408" s="247" t="str">
        <f>ORÇAMENTO!A191</f>
        <v>7.46</v>
      </c>
      <c r="B408" s="73" t="str">
        <f>ORÇAMENTO!B191</f>
        <v>GOINFRA</v>
      </c>
      <c r="C408" s="74">
        <f>ORÇAMENTO!C191</f>
        <v>81003</v>
      </c>
      <c r="D408" s="75" t="str">
        <f>ORÇAMENTO!D191</f>
        <v xml:space="preserve">TUBO SOLDAVEL PVC MARROM DIAMETRO 25 mm </v>
      </c>
      <c r="E408" s="82" t="str">
        <f>ORÇAMENTO!F191</f>
        <v>m</v>
      </c>
      <c r="F408" s="354">
        <f>ORÇAMENTO!E191</f>
        <v>479.15999999999997</v>
      </c>
      <c r="G408" s="369"/>
      <c r="H408" s="369"/>
      <c r="I408" s="369"/>
      <c r="J408" s="370"/>
    </row>
    <row r="409" spans="1:10" x14ac:dyDescent="0.3">
      <c r="A409" s="247" t="str">
        <f>ORÇAMENTO!A192</f>
        <v>7.47</v>
      </c>
      <c r="B409" s="73" t="str">
        <f>ORÇAMENTO!B192</f>
        <v>GOINFRA</v>
      </c>
      <c r="C409" s="74">
        <f>ORÇAMENTO!C192</f>
        <v>81004</v>
      </c>
      <c r="D409" s="75" t="str">
        <f>ORÇAMENTO!D192</f>
        <v xml:space="preserve">TUBO SOLDAVEL PVC MARROM DIAMETRO 32 mm </v>
      </c>
      <c r="E409" s="82" t="str">
        <f>ORÇAMENTO!F192</f>
        <v>m</v>
      </c>
      <c r="F409" s="354">
        <f>ORÇAMENTO!E192</f>
        <v>136.24</v>
      </c>
      <c r="G409" s="369"/>
      <c r="H409" s="369"/>
      <c r="I409" s="369"/>
      <c r="J409" s="370"/>
    </row>
    <row r="410" spans="1:10" x14ac:dyDescent="0.3">
      <c r="A410" s="247" t="str">
        <f>ORÇAMENTO!A193</f>
        <v>7.48</v>
      </c>
      <c r="B410" s="73" t="str">
        <f>ORÇAMENTO!B193</f>
        <v>GOINFRA</v>
      </c>
      <c r="C410" s="74">
        <f>ORÇAMENTO!C193</f>
        <v>81005</v>
      </c>
      <c r="D410" s="75" t="str">
        <f>ORÇAMENTO!D193</f>
        <v xml:space="preserve">TUBO SOLDAVEL PVC MARROM DIAM.(40 mm) </v>
      </c>
      <c r="E410" s="82" t="str">
        <f>ORÇAMENTO!F193</f>
        <v>m</v>
      </c>
      <c r="F410" s="354">
        <f>ORÇAMENTO!E193</f>
        <v>138.19999999999999</v>
      </c>
      <c r="G410" s="369"/>
      <c r="H410" s="369"/>
      <c r="I410" s="369"/>
      <c r="J410" s="370"/>
    </row>
    <row r="411" spans="1:10" x14ac:dyDescent="0.3">
      <c r="A411" s="247" t="str">
        <f>ORÇAMENTO!A194</f>
        <v>7.49</v>
      </c>
      <c r="B411" s="73" t="str">
        <f>ORÇAMENTO!B194</f>
        <v>GOINFRA</v>
      </c>
      <c r="C411" s="74">
        <f>ORÇAMENTO!C194</f>
        <v>81006</v>
      </c>
      <c r="D411" s="75" t="str">
        <f>ORÇAMENTO!D194</f>
        <v xml:space="preserve">TUBO SOLDAVEL PVC MARROM DIAM. 50 mm </v>
      </c>
      <c r="E411" s="82" t="str">
        <f>ORÇAMENTO!F194</f>
        <v xml:space="preserve">m </v>
      </c>
      <c r="F411" s="354">
        <f>ORÇAMENTO!E194</f>
        <v>88.23</v>
      </c>
      <c r="G411" s="369"/>
      <c r="H411" s="369"/>
      <c r="I411" s="369"/>
      <c r="J411" s="370"/>
    </row>
    <row r="412" spans="1:10" x14ac:dyDescent="0.3">
      <c r="A412" s="247" t="str">
        <f>ORÇAMENTO!A195</f>
        <v>7.50</v>
      </c>
      <c r="B412" s="73" t="str">
        <f>ORÇAMENTO!B195</f>
        <v>GOINFRA</v>
      </c>
      <c r="C412" s="74">
        <f>ORÇAMENTO!C195</f>
        <v>81007</v>
      </c>
      <c r="D412" s="75" t="str">
        <f>ORÇAMENTO!D195</f>
        <v xml:space="preserve">TUBO SOLDAVEL PVC MARROM DIAMETRO 60 mm (2") </v>
      </c>
      <c r="E412" s="82" t="str">
        <f>ORÇAMENTO!F195</f>
        <v>m</v>
      </c>
      <c r="F412" s="354">
        <f>ORÇAMENTO!E195</f>
        <v>44.68</v>
      </c>
      <c r="G412" s="369"/>
      <c r="H412" s="369"/>
      <c r="I412" s="369"/>
      <c r="J412" s="370"/>
    </row>
    <row r="413" spans="1:10" x14ac:dyDescent="0.3">
      <c r="A413" s="247" t="str">
        <f>ORÇAMENTO!A196</f>
        <v>7.51</v>
      </c>
      <c r="B413" s="73" t="str">
        <f>ORÇAMENTO!B196</f>
        <v>GOINFRA</v>
      </c>
      <c r="C413" s="74">
        <f>ORÇAMENTO!C196</f>
        <v>81040</v>
      </c>
      <c r="D413" s="75" t="str">
        <f>ORÇAMENTO!D196</f>
        <v>A D A P T A D O R E S DE P V C S O L D A V E</v>
      </c>
      <c r="E413" s="82"/>
      <c r="F413" s="354"/>
      <c r="G413" s="369"/>
      <c r="H413" s="369"/>
      <c r="I413" s="369"/>
      <c r="J413" s="370"/>
    </row>
    <row r="414" spans="1:10" x14ac:dyDescent="0.3">
      <c r="A414" s="247" t="str">
        <f>ORÇAMENTO!A197</f>
        <v>7.52</v>
      </c>
      <c r="B414" s="73" t="str">
        <f>ORÇAMENTO!B197</f>
        <v>GOINFRA</v>
      </c>
      <c r="C414" s="74">
        <f>ORÇAMENTO!C197</f>
        <v>81057</v>
      </c>
      <c r="D414" s="75" t="str">
        <f>ORÇAMENTO!D197</f>
        <v xml:space="preserve">ADAPTADOR SOLD.C/FLANGES LIV.P/CX.DAGUA 40X1.1/4" </v>
      </c>
      <c r="E414" s="82" t="str">
        <f>ORÇAMENTO!F197</f>
        <v>und.</v>
      </c>
      <c r="F414" s="354">
        <f>ORÇAMENTO!E197</f>
        <v>1</v>
      </c>
      <c r="G414" s="369"/>
      <c r="H414" s="369"/>
      <c r="I414" s="369"/>
      <c r="J414" s="370"/>
    </row>
    <row r="415" spans="1:10" x14ac:dyDescent="0.3">
      <c r="A415" s="247" t="str">
        <f>ORÇAMENTO!A198</f>
        <v>7.53</v>
      </c>
      <c r="B415" s="73" t="str">
        <f>ORÇAMENTO!B198</f>
        <v>GOINFRA</v>
      </c>
      <c r="C415" s="74">
        <f>ORÇAMENTO!C198</f>
        <v>81058</v>
      </c>
      <c r="D415" s="75" t="str">
        <f>ORÇAMENTO!D198</f>
        <v xml:space="preserve">ADAPTAD.SOLD.C/FL.LIVRES P/CX.DAGUA 50X1.1/2" </v>
      </c>
      <c r="E415" s="82" t="str">
        <f>ORÇAMENTO!F198</f>
        <v>und.</v>
      </c>
      <c r="F415" s="354">
        <f>ORÇAMENTO!E198</f>
        <v>7</v>
      </c>
      <c r="G415" s="369"/>
      <c r="H415" s="369"/>
      <c r="I415" s="369"/>
      <c r="J415" s="370"/>
    </row>
    <row r="416" spans="1:10" x14ac:dyDescent="0.3">
      <c r="A416" s="247" t="str">
        <f>ORÇAMENTO!A199</f>
        <v>7.54</v>
      </c>
      <c r="B416" s="73" t="str">
        <f>ORÇAMENTO!B199</f>
        <v>GOINFRA</v>
      </c>
      <c r="C416" s="74">
        <f>ORÇAMENTO!C199</f>
        <v>81066</v>
      </c>
      <c r="D416" s="75" t="str">
        <f>ORÇAMENTO!D199</f>
        <v xml:space="preserve">ADAPTAD.SOLD.CURTO C/BOLSA E ROSCA P/REG.25X3/4" </v>
      </c>
      <c r="E416" s="82" t="str">
        <f>ORÇAMENTO!F199</f>
        <v>und.</v>
      </c>
      <c r="F416" s="354">
        <f>ORÇAMENTO!E199</f>
        <v>72</v>
      </c>
      <c r="G416" s="369"/>
      <c r="H416" s="369"/>
      <c r="I416" s="369"/>
      <c r="J416" s="370"/>
    </row>
    <row r="417" spans="1:10" x14ac:dyDescent="0.3">
      <c r="A417" s="247" t="str">
        <f>ORÇAMENTO!A200</f>
        <v>7.55</v>
      </c>
      <c r="B417" s="73" t="str">
        <f>ORÇAMENTO!B200</f>
        <v>GOINFRA</v>
      </c>
      <c r="C417" s="74">
        <f>ORÇAMENTO!C200</f>
        <v>81067</v>
      </c>
      <c r="D417" s="75" t="str">
        <f>ORÇAMENTO!D200</f>
        <v xml:space="preserve">ADAPTAD.SOLD.CURTO C/BOLSA E ROSCA P/REG.32X1" </v>
      </c>
      <c r="E417" s="82" t="str">
        <f>ORÇAMENTO!F200</f>
        <v>und.</v>
      </c>
      <c r="F417" s="354">
        <f>ORÇAMENTO!E200</f>
        <v>26</v>
      </c>
      <c r="G417" s="369"/>
      <c r="H417" s="369"/>
      <c r="I417" s="369"/>
      <c r="J417" s="370"/>
    </row>
    <row r="418" spans="1:10" x14ac:dyDescent="0.3">
      <c r="A418" s="247" t="str">
        <f>ORÇAMENTO!A201</f>
        <v>7.56</v>
      </c>
      <c r="B418" s="73" t="str">
        <f>ORÇAMENTO!B201</f>
        <v>GOINFRA</v>
      </c>
      <c r="C418" s="74">
        <f>ORÇAMENTO!C201</f>
        <v>81068</v>
      </c>
      <c r="D418" s="75" t="str">
        <f>ORÇAMENTO!D201</f>
        <v xml:space="preserve">ADAPTAD.SOLD.CURTO C/BOLSA/ROSCA P/REG.40X1 1/4" </v>
      </c>
      <c r="E418" s="82" t="str">
        <f>ORÇAMENTO!F201</f>
        <v>und.</v>
      </c>
      <c r="F418" s="354">
        <f>ORÇAMENTO!E201</f>
        <v>18</v>
      </c>
      <c r="G418" s="369"/>
      <c r="H418" s="369"/>
      <c r="I418" s="369"/>
      <c r="J418" s="370"/>
    </row>
    <row r="419" spans="1:10" x14ac:dyDescent="0.3">
      <c r="A419" s="247" t="str">
        <f>ORÇAMENTO!A202</f>
        <v>7.57</v>
      </c>
      <c r="B419" s="73" t="str">
        <f>ORÇAMENTO!B202</f>
        <v>GOINFRA</v>
      </c>
      <c r="C419" s="74">
        <f>ORÇAMENTO!C202</f>
        <v>81069</v>
      </c>
      <c r="D419" s="75" t="str">
        <f>ORÇAMENTO!D202</f>
        <v xml:space="preserve">ADAPTAD.SOLD.CURTO C/BOLSA/ROSCA P/REG.50X11/2" </v>
      </c>
      <c r="E419" s="82" t="str">
        <f>ORÇAMENTO!F202</f>
        <v>und.</v>
      </c>
      <c r="F419" s="354">
        <f>ORÇAMENTO!E202</f>
        <v>12</v>
      </c>
      <c r="G419" s="369"/>
      <c r="H419" s="369"/>
      <c r="I419" s="369"/>
      <c r="J419" s="370"/>
    </row>
    <row r="420" spans="1:10" x14ac:dyDescent="0.3">
      <c r="A420" s="247" t="str">
        <f>ORÇAMENTO!A203</f>
        <v>7.58</v>
      </c>
      <c r="B420" s="73" t="str">
        <f>ORÇAMENTO!B203</f>
        <v>GOINFRA</v>
      </c>
      <c r="C420" s="74">
        <f>ORÇAMENTO!C203</f>
        <v>81070</v>
      </c>
      <c r="D420" s="75" t="str">
        <f>ORÇAMENTO!D203</f>
        <v xml:space="preserve">ADAPTAD.SOLD.CURTO C/BOLSA/ROSCA P/REGIST.60X2" </v>
      </c>
      <c r="E420" s="82" t="str">
        <f>ORÇAMENTO!F203</f>
        <v>und.</v>
      </c>
      <c r="F420" s="354">
        <f>ORÇAMENTO!E203</f>
        <v>6</v>
      </c>
      <c r="G420" s="369"/>
      <c r="H420" s="369"/>
      <c r="I420" s="369"/>
      <c r="J420" s="370"/>
    </row>
    <row r="421" spans="1:10" x14ac:dyDescent="0.3">
      <c r="A421" s="247" t="str">
        <f>ORÇAMENTO!A204</f>
        <v>7.59</v>
      </c>
      <c r="B421" s="73" t="str">
        <f>ORÇAMENTO!B204</f>
        <v>GOINFRA</v>
      </c>
      <c r="C421" s="74">
        <f>ORÇAMENTO!C204</f>
        <v>81100</v>
      </c>
      <c r="D421" s="75" t="str">
        <f>ORÇAMENTO!D204</f>
        <v xml:space="preserve"> L U V A S DE P V C</v>
      </c>
      <c r="E421" s="82"/>
      <c r="F421" s="354"/>
      <c r="G421" s="369"/>
      <c r="H421" s="369"/>
      <c r="I421" s="369"/>
      <c r="J421" s="370"/>
    </row>
    <row r="422" spans="1:10" x14ac:dyDescent="0.3">
      <c r="A422" s="247" t="str">
        <f>ORÇAMENTO!A205</f>
        <v>7.60</v>
      </c>
      <c r="B422" s="73" t="str">
        <f>ORÇAMENTO!B205</f>
        <v>GOINFRA</v>
      </c>
      <c r="C422" s="74">
        <f>ORÇAMENTO!C205</f>
        <v>81102</v>
      </c>
      <c r="D422" s="75" t="str">
        <f>ORÇAMENTO!D205</f>
        <v xml:space="preserve">LUVA SOLDAVEL DIAMETRO 25 mm </v>
      </c>
      <c r="E422" s="82" t="str">
        <f>ORÇAMENTO!F205</f>
        <v>und.</v>
      </c>
      <c r="F422" s="354">
        <f>ORÇAMENTO!E205</f>
        <v>32</v>
      </c>
      <c r="G422" s="369"/>
      <c r="H422" s="369"/>
      <c r="I422" s="369"/>
      <c r="J422" s="370"/>
    </row>
    <row r="423" spans="1:10" x14ac:dyDescent="0.3">
      <c r="A423" s="247" t="str">
        <f>ORÇAMENTO!A206</f>
        <v>7.61</v>
      </c>
      <c r="B423" s="73" t="str">
        <f>ORÇAMENTO!B206</f>
        <v>GOINFRA</v>
      </c>
      <c r="C423" s="74">
        <f>ORÇAMENTO!C206</f>
        <v>81103</v>
      </c>
      <c r="D423" s="75" t="str">
        <f>ORÇAMENTO!D206</f>
        <v xml:space="preserve">LUVA SOLDAVEL DIAMETRO 32 mm </v>
      </c>
      <c r="E423" s="82" t="str">
        <f>ORÇAMENTO!F206</f>
        <v>und.</v>
      </c>
      <c r="F423" s="354">
        <f>ORÇAMENTO!E206</f>
        <v>10</v>
      </c>
      <c r="G423" s="369"/>
      <c r="H423" s="369"/>
      <c r="I423" s="369"/>
      <c r="J423" s="370"/>
    </row>
    <row r="424" spans="1:10" x14ac:dyDescent="0.3">
      <c r="A424" s="247" t="str">
        <f>ORÇAMENTO!A207</f>
        <v>7.62</v>
      </c>
      <c r="B424" s="73" t="str">
        <f>ORÇAMENTO!B207</f>
        <v>GOINFRA</v>
      </c>
      <c r="C424" s="74">
        <f>ORÇAMENTO!C207</f>
        <v>81104</v>
      </c>
      <c r="D424" s="75" t="str">
        <f>ORÇAMENTO!D207</f>
        <v xml:space="preserve"> LUVA SOLDAVEL DIAMETRO 40 mm </v>
      </c>
      <c r="E424" s="82" t="str">
        <f>ORÇAMENTO!F207</f>
        <v>und.</v>
      </c>
      <c r="F424" s="354">
        <f>ORÇAMENTO!E207</f>
        <v>3</v>
      </c>
      <c r="G424" s="369"/>
      <c r="H424" s="369"/>
      <c r="I424" s="369"/>
      <c r="J424" s="370"/>
    </row>
    <row r="425" spans="1:10" x14ac:dyDescent="0.3">
      <c r="A425" s="247" t="str">
        <f>ORÇAMENTO!A208</f>
        <v>7.63</v>
      </c>
      <c r="B425" s="73" t="str">
        <f>ORÇAMENTO!B208</f>
        <v>GOINFRA</v>
      </c>
      <c r="C425" s="74">
        <f>ORÇAMENTO!C208</f>
        <v>81122</v>
      </c>
      <c r="D425" s="75" t="str">
        <f>ORÇAMENTO!D208</f>
        <v xml:space="preserve"> LUVA DE REDUCAO SOLDAVEL DIAMETRO 32 X 25 mm</v>
      </c>
      <c r="E425" s="82" t="str">
        <f>ORÇAMENTO!F208</f>
        <v>und.</v>
      </c>
      <c r="F425" s="354">
        <f>ORÇAMENTO!E208</f>
        <v>11</v>
      </c>
      <c r="G425" s="369"/>
      <c r="H425" s="369"/>
      <c r="I425" s="369"/>
      <c r="J425" s="370"/>
    </row>
    <row r="426" spans="1:10" x14ac:dyDescent="0.3">
      <c r="A426" s="247" t="str">
        <f>ORÇAMENTO!A209</f>
        <v>7.64</v>
      </c>
      <c r="B426" s="73" t="str">
        <f>ORÇAMENTO!B209</f>
        <v>GOINFRA</v>
      </c>
      <c r="C426" s="74">
        <f>ORÇAMENTO!C209</f>
        <v>81160</v>
      </c>
      <c r="D426" s="75" t="str">
        <f>ORÇAMENTO!D209</f>
        <v>B U C H A S</v>
      </c>
      <c r="E426" s="82"/>
      <c r="F426" s="354"/>
      <c r="G426" s="369"/>
      <c r="H426" s="369"/>
      <c r="I426" s="369"/>
      <c r="J426" s="370"/>
    </row>
    <row r="427" spans="1:10" x14ac:dyDescent="0.3">
      <c r="A427" s="247" t="str">
        <f>ORÇAMENTO!A210</f>
        <v>7.65</v>
      </c>
      <c r="B427" s="73" t="str">
        <f>ORÇAMENTO!B210</f>
        <v>GOINFRA</v>
      </c>
      <c r="C427" s="74">
        <f>ORÇAMENTO!C210</f>
        <v>81162</v>
      </c>
      <c r="D427" s="75" t="str">
        <f>ORÇAMENTO!D210</f>
        <v xml:space="preserve">BUCHA DE REDUCAO SOLD.CURTA 32 X 25 MM </v>
      </c>
      <c r="E427" s="82" t="str">
        <f>ORÇAMENTO!F210</f>
        <v>und.</v>
      </c>
      <c r="F427" s="354">
        <f>ORÇAMENTO!E210</f>
        <v>22</v>
      </c>
      <c r="G427" s="369"/>
      <c r="H427" s="369"/>
      <c r="I427" s="369"/>
      <c r="J427" s="370"/>
    </row>
    <row r="428" spans="1:10" x14ac:dyDescent="0.3">
      <c r="A428" s="247" t="str">
        <f>ORÇAMENTO!A211</f>
        <v>7.66</v>
      </c>
      <c r="B428" s="73" t="str">
        <f>ORÇAMENTO!B211</f>
        <v>GOINFRA</v>
      </c>
      <c r="C428" s="74">
        <f>ORÇAMENTO!C211</f>
        <v>81163</v>
      </c>
      <c r="D428" s="75" t="str">
        <f>ORÇAMENTO!D211</f>
        <v xml:space="preserve"> BUCHA DE REDUCAO SOLD.CURTA 40 X 32 mm </v>
      </c>
      <c r="E428" s="82" t="str">
        <f>ORÇAMENTO!F211</f>
        <v>und.</v>
      </c>
      <c r="F428" s="354">
        <f>ORÇAMENTO!E211</f>
        <v>19</v>
      </c>
      <c r="G428" s="369"/>
      <c r="H428" s="369"/>
      <c r="I428" s="369"/>
      <c r="J428" s="370"/>
    </row>
    <row r="429" spans="1:10" x14ac:dyDescent="0.3">
      <c r="A429" s="247" t="str">
        <f>ORÇAMENTO!A212</f>
        <v>7.67</v>
      </c>
      <c r="B429" s="73" t="str">
        <f>ORÇAMENTO!B212</f>
        <v>GOINFRA</v>
      </c>
      <c r="C429" s="74">
        <f>ORÇAMENTO!C212</f>
        <v>81164</v>
      </c>
      <c r="D429" s="75" t="str">
        <f>ORÇAMENTO!D212</f>
        <v xml:space="preserve">BUCHA DE REDUCAO SOLD.CURTO 50 X 40 mm </v>
      </c>
      <c r="E429" s="82" t="str">
        <f>ORÇAMENTO!F212</f>
        <v>und.</v>
      </c>
      <c r="F429" s="354">
        <f>ORÇAMENTO!E212</f>
        <v>7</v>
      </c>
      <c r="G429" s="369"/>
      <c r="H429" s="369"/>
      <c r="I429" s="369"/>
      <c r="J429" s="370"/>
    </row>
    <row r="430" spans="1:10" x14ac:dyDescent="0.3">
      <c r="A430" s="247" t="str">
        <f>ORÇAMENTO!A213</f>
        <v>7.68</v>
      </c>
      <c r="B430" s="73" t="str">
        <f>ORÇAMENTO!B213</f>
        <v>GOINFRA</v>
      </c>
      <c r="C430" s="74">
        <f>ORÇAMENTO!C213</f>
        <v>81180</v>
      </c>
      <c r="D430" s="75" t="str">
        <f>ORÇAMENTO!D213</f>
        <v xml:space="preserve">BUCHA DE REDUCAO SOLDAVEL LONGA 50 X 32 mm </v>
      </c>
      <c r="E430" s="82" t="str">
        <f>ORÇAMENTO!F213</f>
        <v>und.</v>
      </c>
      <c r="F430" s="354">
        <f>ORÇAMENTO!E213</f>
        <v>9</v>
      </c>
      <c r="G430" s="369"/>
      <c r="H430" s="369"/>
      <c r="I430" s="369"/>
      <c r="J430" s="370"/>
    </row>
    <row r="431" spans="1:10" x14ac:dyDescent="0.3">
      <c r="A431" s="247" t="str">
        <f>ORÇAMENTO!A214</f>
        <v>7.69</v>
      </c>
      <c r="B431" s="73" t="str">
        <f>ORÇAMENTO!B214</f>
        <v>GOINFRA</v>
      </c>
      <c r="C431" s="74">
        <f>ORÇAMENTO!C214</f>
        <v>81182</v>
      </c>
      <c r="D431" s="75" t="str">
        <f>ORÇAMENTO!D214</f>
        <v xml:space="preserve">BUCHA DE REDUCAO SOLDAVEL LONGA 60 X 32 mm </v>
      </c>
      <c r="E431" s="82" t="str">
        <f>ORÇAMENTO!F214</f>
        <v>und.</v>
      </c>
      <c r="F431" s="354">
        <f>ORÇAMENTO!E214</f>
        <v>1</v>
      </c>
      <c r="G431" s="369"/>
      <c r="H431" s="369"/>
      <c r="I431" s="369"/>
      <c r="J431" s="370"/>
    </row>
    <row r="432" spans="1:10" x14ac:dyDescent="0.3">
      <c r="A432" s="247" t="str">
        <f>ORÇAMENTO!A215</f>
        <v>7.70</v>
      </c>
      <c r="B432" s="73" t="str">
        <f>ORÇAMENTO!B215</f>
        <v>GOINFRA</v>
      </c>
      <c r="C432" s="74">
        <f>ORÇAMENTO!C215</f>
        <v>81183</v>
      </c>
      <c r="D432" s="75" t="str">
        <f>ORÇAMENTO!D215</f>
        <v xml:space="preserve"> BUCHA DE REDUCAO SOLDAVEL LONGA 60 X 40 mm </v>
      </c>
      <c r="E432" s="82" t="str">
        <f>ORÇAMENTO!F215</f>
        <v>und.</v>
      </c>
      <c r="F432" s="354">
        <f>ORÇAMENTO!E215</f>
        <v>1</v>
      </c>
      <c r="G432" s="369"/>
      <c r="H432" s="369"/>
      <c r="I432" s="369"/>
      <c r="J432" s="370"/>
    </row>
    <row r="433" spans="1:10" x14ac:dyDescent="0.3">
      <c r="A433" s="247" t="str">
        <f>ORÇAMENTO!A216</f>
        <v>7.71</v>
      </c>
      <c r="B433" s="73" t="str">
        <f>ORÇAMENTO!B216</f>
        <v>GOINFRA</v>
      </c>
      <c r="C433" s="74">
        <f>ORÇAMENTO!C216</f>
        <v>81300</v>
      </c>
      <c r="D433" s="75" t="str">
        <f>ORÇAMENTO!D216</f>
        <v xml:space="preserve"> J O E L H O S</v>
      </c>
      <c r="E433" s="82"/>
      <c r="F433" s="354"/>
      <c r="G433" s="369"/>
      <c r="H433" s="369"/>
      <c r="I433" s="369"/>
      <c r="J433" s="370"/>
    </row>
    <row r="434" spans="1:10" x14ac:dyDescent="0.3">
      <c r="A434" s="247" t="str">
        <f>ORÇAMENTO!A217</f>
        <v>7.72</v>
      </c>
      <c r="B434" s="73" t="str">
        <f>ORÇAMENTO!B217</f>
        <v>GOINFRA</v>
      </c>
      <c r="C434" s="74">
        <f>ORÇAMENTO!C217</f>
        <v>81302</v>
      </c>
      <c r="D434" s="75" t="str">
        <f>ORÇAMENTO!D217</f>
        <v xml:space="preserve">JOELHO 45 GRAUS SOLDAVEL 25 mm </v>
      </c>
      <c r="E434" s="82" t="str">
        <f>ORÇAMENTO!F217</f>
        <v>und.</v>
      </c>
      <c r="F434" s="354">
        <f>ORÇAMENTO!E217</f>
        <v>4</v>
      </c>
      <c r="G434" s="369"/>
      <c r="H434" s="369"/>
      <c r="I434" s="369"/>
      <c r="J434" s="370"/>
    </row>
    <row r="435" spans="1:10" x14ac:dyDescent="0.3">
      <c r="A435" s="247" t="str">
        <f>ORÇAMENTO!A218</f>
        <v>7.73</v>
      </c>
      <c r="B435" s="73" t="str">
        <f>ORÇAMENTO!B218</f>
        <v>GOINFRA</v>
      </c>
      <c r="C435" s="74">
        <f>ORÇAMENTO!C218</f>
        <v>81321</v>
      </c>
      <c r="D435" s="75" t="str">
        <f>ORÇAMENTO!D218</f>
        <v xml:space="preserve">JOELHO 90 GRAUS SOLDAVEL DIAMETRO 25 MM </v>
      </c>
      <c r="E435" s="82" t="str">
        <f>ORÇAMENTO!F218</f>
        <v>und.</v>
      </c>
      <c r="F435" s="354">
        <f>ORÇAMENTO!E218</f>
        <v>33</v>
      </c>
      <c r="G435" s="369"/>
      <c r="H435" s="369"/>
      <c r="I435" s="369"/>
      <c r="J435" s="370"/>
    </row>
    <row r="436" spans="1:10" x14ac:dyDescent="0.3">
      <c r="A436" s="247" t="str">
        <f>ORÇAMENTO!A219</f>
        <v>7.74</v>
      </c>
      <c r="B436" s="73" t="str">
        <f>ORÇAMENTO!B219</f>
        <v>GOINFRA</v>
      </c>
      <c r="C436" s="74">
        <f>ORÇAMENTO!C219</f>
        <v>81322</v>
      </c>
      <c r="D436" s="75" t="str">
        <f>ORÇAMENTO!D219</f>
        <v xml:space="preserve">JOELHO 90 GRAUS SOLDAVEL DIAMETRO 32 MM (1") </v>
      </c>
      <c r="E436" s="82" t="str">
        <f>ORÇAMENTO!F219</f>
        <v>und.</v>
      </c>
      <c r="F436" s="354">
        <f>ORÇAMENTO!E219</f>
        <v>20</v>
      </c>
      <c r="G436" s="369"/>
      <c r="H436" s="369"/>
      <c r="I436" s="369"/>
      <c r="J436" s="370"/>
    </row>
    <row r="437" spans="1:10" x14ac:dyDescent="0.3">
      <c r="A437" s="247" t="str">
        <f>ORÇAMENTO!A220</f>
        <v>7.75</v>
      </c>
      <c r="B437" s="73" t="str">
        <f>ORÇAMENTO!B220</f>
        <v>GOINFRA</v>
      </c>
      <c r="C437" s="74">
        <f>ORÇAMENTO!C220</f>
        <v>81323</v>
      </c>
      <c r="D437" s="75" t="str">
        <f>ORÇAMENTO!D220</f>
        <v xml:space="preserve"> JOELHO 90 GRAUS SOLDAVEL DIAMETRO 40 mm (1.1/4") </v>
      </c>
      <c r="E437" s="82" t="str">
        <f>ORÇAMENTO!F220</f>
        <v>und.</v>
      </c>
      <c r="F437" s="354">
        <f>ORÇAMENTO!E220</f>
        <v>23</v>
      </c>
      <c r="G437" s="369"/>
      <c r="H437" s="369"/>
      <c r="I437" s="369"/>
      <c r="J437" s="370"/>
    </row>
    <row r="438" spans="1:10" x14ac:dyDescent="0.3">
      <c r="A438" s="247" t="str">
        <f>ORÇAMENTO!A221</f>
        <v>7.76</v>
      </c>
      <c r="B438" s="73" t="str">
        <f>ORÇAMENTO!B221</f>
        <v>GOINFRA</v>
      </c>
      <c r="C438" s="74">
        <f>ORÇAMENTO!C221</f>
        <v>81324</v>
      </c>
      <c r="D438" s="75" t="str">
        <f>ORÇAMENTO!D221</f>
        <v xml:space="preserve">JOELHO 90 GRAUS SOLDAVEL 50 mm (MARROM) </v>
      </c>
      <c r="E438" s="82" t="str">
        <f>ORÇAMENTO!F221</f>
        <v>und.</v>
      </c>
      <c r="F438" s="354">
        <f>ORÇAMENTO!E221</f>
        <v>15</v>
      </c>
      <c r="G438" s="369"/>
      <c r="H438" s="369"/>
      <c r="I438" s="369"/>
      <c r="J438" s="370"/>
    </row>
    <row r="439" spans="1:10" x14ac:dyDescent="0.3">
      <c r="A439" s="247" t="str">
        <f>ORÇAMENTO!A222</f>
        <v>7.77</v>
      </c>
      <c r="B439" s="73" t="str">
        <f>ORÇAMENTO!B222</f>
        <v>GOINFRA</v>
      </c>
      <c r="C439" s="74">
        <f>ORÇAMENTO!C222</f>
        <v>81325</v>
      </c>
      <c r="D439" s="75" t="str">
        <f>ORÇAMENTO!D222</f>
        <v>JOELHO 90 GRAUS SOLDAVEL DIAMETRO 60 mm</v>
      </c>
      <c r="E439" s="82" t="str">
        <f>ORÇAMENTO!F222</f>
        <v>und.</v>
      </c>
      <c r="F439" s="354">
        <f>ORÇAMENTO!E222</f>
        <v>9</v>
      </c>
      <c r="G439" s="369"/>
      <c r="H439" s="369"/>
      <c r="I439" s="369"/>
      <c r="J439" s="370"/>
    </row>
    <row r="440" spans="1:10" x14ac:dyDescent="0.3">
      <c r="A440" s="247" t="str">
        <f>ORÇAMENTO!A223</f>
        <v>7.78</v>
      </c>
      <c r="B440" s="73" t="str">
        <f>ORÇAMENTO!B223</f>
        <v>GOINFRA</v>
      </c>
      <c r="C440" s="74">
        <f>ORÇAMENTO!C223</f>
        <v>81360</v>
      </c>
      <c r="D440" s="75" t="str">
        <f>ORÇAMENTO!D223</f>
        <v xml:space="preserve">JOELHO RED.90 GRAUS SOLD.C/BUCHA LATAO 25X1/2" </v>
      </c>
      <c r="E440" s="82" t="str">
        <f>ORÇAMENTO!F223</f>
        <v>und.</v>
      </c>
      <c r="F440" s="354">
        <f>ORÇAMENTO!E223</f>
        <v>67</v>
      </c>
      <c r="G440" s="369"/>
      <c r="H440" s="369"/>
      <c r="I440" s="369"/>
      <c r="J440" s="370"/>
    </row>
    <row r="441" spans="1:10" x14ac:dyDescent="0.3">
      <c r="A441" s="247" t="str">
        <f>ORÇAMENTO!A224</f>
        <v>7.79</v>
      </c>
      <c r="B441" s="73" t="str">
        <f>ORÇAMENTO!B224</f>
        <v>GOINFRA</v>
      </c>
      <c r="C441" s="74">
        <f>ORÇAMENTO!C224</f>
        <v>81369</v>
      </c>
      <c r="D441" s="75" t="str">
        <f>ORÇAMENTO!D224</f>
        <v>JOELHO 90 GRAUS SOLD. C/BUCHA LATAO 25 X 3/4"</v>
      </c>
      <c r="E441" s="82" t="str">
        <f>ORÇAMENTO!F224</f>
        <v>und.</v>
      </c>
      <c r="F441" s="354">
        <f>ORÇAMENTO!E224</f>
        <v>34</v>
      </c>
      <c r="G441" s="369"/>
      <c r="H441" s="369"/>
      <c r="I441" s="369"/>
      <c r="J441" s="370"/>
    </row>
    <row r="442" spans="1:10" x14ac:dyDescent="0.3">
      <c r="A442" s="247" t="str">
        <f>ORÇAMENTO!A225</f>
        <v>7.80</v>
      </c>
      <c r="B442" s="73" t="str">
        <f>ORÇAMENTO!B225</f>
        <v>GOINFRA</v>
      </c>
      <c r="C442" s="74">
        <f>ORÇAMENTO!C225</f>
        <v>81400</v>
      </c>
      <c r="D442" s="75" t="str">
        <f>ORÇAMENTO!D225</f>
        <v xml:space="preserve"> T E</v>
      </c>
      <c r="E442" s="82"/>
      <c r="F442" s="354"/>
      <c r="G442" s="369"/>
      <c r="H442" s="369"/>
      <c r="I442" s="369"/>
      <c r="J442" s="370"/>
    </row>
    <row r="443" spans="1:10" x14ac:dyDescent="0.3">
      <c r="A443" s="247" t="str">
        <f>ORÇAMENTO!A226</f>
        <v>7.81</v>
      </c>
      <c r="B443" s="73" t="str">
        <f>ORÇAMENTO!B226</f>
        <v>GOINFRA</v>
      </c>
      <c r="C443" s="74">
        <f>ORÇAMENTO!C226</f>
        <v>81402</v>
      </c>
      <c r="D443" s="75" t="str">
        <f>ORÇAMENTO!D226</f>
        <v xml:space="preserve"> TE 90 GRAUS SOLDAVEL DIAMETRO 25 mm</v>
      </c>
      <c r="E443" s="82" t="str">
        <f>ORÇAMENTO!F226</f>
        <v>und.</v>
      </c>
      <c r="F443" s="354">
        <f>ORÇAMENTO!E226</f>
        <v>37</v>
      </c>
      <c r="G443" s="369"/>
      <c r="H443" s="369"/>
      <c r="I443" s="369"/>
      <c r="J443" s="370"/>
    </row>
    <row r="444" spans="1:10" x14ac:dyDescent="0.3">
      <c r="A444" s="247" t="str">
        <f>ORÇAMENTO!A227</f>
        <v>7.82</v>
      </c>
      <c r="B444" s="73" t="str">
        <f>ORÇAMENTO!B227</f>
        <v>GOINFRA</v>
      </c>
      <c r="C444" s="74">
        <f>ORÇAMENTO!C227</f>
        <v>81403</v>
      </c>
      <c r="D444" s="75" t="str">
        <f>ORÇAMENTO!D227</f>
        <v xml:space="preserve">TE 90 GRAUS SOLDAVEL DIAMETRO 32 mm </v>
      </c>
      <c r="E444" s="82" t="str">
        <f>ORÇAMENTO!F227</f>
        <v>und.</v>
      </c>
      <c r="F444" s="354">
        <f>ORÇAMENTO!E227</f>
        <v>9</v>
      </c>
      <c r="G444" s="369"/>
      <c r="H444" s="369"/>
      <c r="I444" s="369"/>
      <c r="J444" s="370"/>
    </row>
    <row r="445" spans="1:10" x14ac:dyDescent="0.3">
      <c r="A445" s="247" t="str">
        <f>ORÇAMENTO!A228</f>
        <v>7.83</v>
      </c>
      <c r="B445" s="73" t="str">
        <f>ORÇAMENTO!B228</f>
        <v>GOINFRA</v>
      </c>
      <c r="C445" s="74">
        <f>ORÇAMENTO!C228</f>
        <v>81404</v>
      </c>
      <c r="D445" s="75" t="str">
        <f>ORÇAMENTO!D228</f>
        <v xml:space="preserve">TE 90 GRAUS SOLDAVEL DIAMETRO 40 mm </v>
      </c>
      <c r="E445" s="82" t="str">
        <f>ORÇAMENTO!F228</f>
        <v>und.</v>
      </c>
      <c r="F445" s="354">
        <f>ORÇAMENTO!E228</f>
        <v>15</v>
      </c>
      <c r="G445" s="369"/>
      <c r="H445" s="369"/>
      <c r="I445" s="369"/>
      <c r="J445" s="370"/>
    </row>
    <row r="446" spans="1:10" x14ac:dyDescent="0.3">
      <c r="A446" s="247" t="str">
        <f>ORÇAMENTO!A229</f>
        <v>7.84</v>
      </c>
      <c r="B446" s="73" t="str">
        <f>ORÇAMENTO!B229</f>
        <v>GOINFRA</v>
      </c>
      <c r="C446" s="74">
        <f>ORÇAMENTO!C229</f>
        <v>81405</v>
      </c>
      <c r="D446" s="75" t="str">
        <f>ORÇAMENTO!D229</f>
        <v xml:space="preserve">TE 90 GRAUS SOLDAVEL DIAMETRO 50 mm </v>
      </c>
      <c r="E446" s="82" t="str">
        <f>ORÇAMENTO!F229</f>
        <v>und.</v>
      </c>
      <c r="F446" s="354">
        <f>ORÇAMENTO!E229</f>
        <v>11</v>
      </c>
      <c r="G446" s="369"/>
      <c r="H446" s="369"/>
      <c r="I446" s="369"/>
      <c r="J446" s="370"/>
    </row>
    <row r="447" spans="1:10" x14ac:dyDescent="0.3">
      <c r="A447" s="247" t="str">
        <f>ORÇAMENTO!A230</f>
        <v>7.85</v>
      </c>
      <c r="B447" s="73" t="str">
        <f>ORÇAMENTO!B230</f>
        <v>GOINFRA</v>
      </c>
      <c r="C447" s="74">
        <f>ORÇAMENTO!C230</f>
        <v>81406</v>
      </c>
      <c r="D447" s="75" t="str">
        <f>ORÇAMENTO!D230</f>
        <v>TE 90 GRAUS SOLDAVEL DIMETRO 60 mm</v>
      </c>
      <c r="E447" s="82" t="str">
        <f>ORÇAMENTO!F230</f>
        <v>und.</v>
      </c>
      <c r="F447" s="354">
        <f>ORÇAMENTO!E230</f>
        <v>3</v>
      </c>
      <c r="G447" s="369"/>
      <c r="H447" s="369"/>
      <c r="I447" s="369"/>
      <c r="J447" s="370"/>
    </row>
    <row r="448" spans="1:10" x14ac:dyDescent="0.3">
      <c r="A448" s="247" t="str">
        <f>ORÇAMENTO!A231</f>
        <v>7.86</v>
      </c>
      <c r="B448" s="73" t="str">
        <f>ORÇAMENTO!B231</f>
        <v>GOINFRA</v>
      </c>
      <c r="C448" s="74">
        <f>ORÇAMENTO!C231</f>
        <v>81421</v>
      </c>
      <c r="D448" s="75" t="str">
        <f>ORÇAMENTO!D231</f>
        <v xml:space="preserve">TE REDUCAO 90 GRAUS SOLDAVEL 32 X 25 mm </v>
      </c>
      <c r="E448" s="82" t="str">
        <f>ORÇAMENTO!F231</f>
        <v>und.</v>
      </c>
      <c r="F448" s="354">
        <f>ORÇAMENTO!E231</f>
        <v>35</v>
      </c>
      <c r="G448" s="369"/>
      <c r="H448" s="369"/>
      <c r="I448" s="369"/>
      <c r="J448" s="370"/>
    </row>
    <row r="449" spans="1:10" x14ac:dyDescent="0.3">
      <c r="A449" s="247" t="str">
        <f>ORÇAMENTO!A232</f>
        <v>7.87</v>
      </c>
      <c r="B449" s="73" t="str">
        <f>ORÇAMENTO!B232</f>
        <v>GOINFRA</v>
      </c>
      <c r="C449" s="74">
        <f>ORÇAMENTO!C232</f>
        <v>81422</v>
      </c>
      <c r="D449" s="75" t="str">
        <f>ORÇAMENTO!D232</f>
        <v xml:space="preserve">TE REDUCAO 90 GRAUS SOLDAVEL 40 X 32 mm </v>
      </c>
      <c r="E449" s="82" t="str">
        <f>ORÇAMENTO!F232</f>
        <v>und.</v>
      </c>
      <c r="F449" s="354">
        <f>ORÇAMENTO!E232</f>
        <v>3</v>
      </c>
      <c r="G449" s="369"/>
      <c r="H449" s="369"/>
      <c r="I449" s="369"/>
      <c r="J449" s="370"/>
    </row>
    <row r="450" spans="1:10" x14ac:dyDescent="0.3">
      <c r="A450" s="247" t="str">
        <f>ORÇAMENTO!A233</f>
        <v>7.88</v>
      </c>
      <c r="B450" s="73" t="str">
        <f>ORÇAMENTO!B233</f>
        <v>GOINFRA</v>
      </c>
      <c r="C450" s="74">
        <f>ORÇAMENTO!C233</f>
        <v>81425</v>
      </c>
      <c r="D450" s="75" t="str">
        <f>ORÇAMENTO!D233</f>
        <v xml:space="preserve">TE REDUCAO 90 GRAUS SOLDAVEL 50 X 32 mm </v>
      </c>
      <c r="E450" s="82" t="str">
        <f>ORÇAMENTO!F233</f>
        <v>und.</v>
      </c>
      <c r="F450" s="354">
        <f>ORÇAMENTO!E233</f>
        <v>5</v>
      </c>
      <c r="G450" s="369"/>
      <c r="H450" s="369"/>
      <c r="I450" s="369"/>
      <c r="J450" s="370"/>
    </row>
    <row r="451" spans="1:10" x14ac:dyDescent="0.3">
      <c r="A451" s="247" t="str">
        <f>ORÇAMENTO!A234</f>
        <v>7.89</v>
      </c>
      <c r="B451" s="73" t="str">
        <f>ORÇAMENTO!B234</f>
        <v>GOINFRA</v>
      </c>
      <c r="C451" s="74">
        <f>ORÇAMENTO!C234</f>
        <v>81426</v>
      </c>
      <c r="D451" s="75" t="str">
        <f>ORÇAMENTO!D234</f>
        <v xml:space="preserve">TE REDUCAO 90 GRAUS SOLDAVEL 50 X 40 mm </v>
      </c>
      <c r="E451" s="82" t="str">
        <f>ORÇAMENTO!F234</f>
        <v>und.</v>
      </c>
      <c r="F451" s="354">
        <f>ORÇAMENTO!E234</f>
        <v>2</v>
      </c>
      <c r="G451" s="369"/>
      <c r="H451" s="369"/>
      <c r="I451" s="369"/>
      <c r="J451" s="370"/>
    </row>
    <row r="452" spans="1:10" x14ac:dyDescent="0.3">
      <c r="A452" s="247" t="str">
        <f>ORÇAMENTO!A235</f>
        <v>7.90</v>
      </c>
      <c r="B452" s="73" t="str">
        <f>ORÇAMENTO!B235</f>
        <v>GOINFRA</v>
      </c>
      <c r="C452" s="74">
        <f>ORÇAMENTO!C235</f>
        <v>81460</v>
      </c>
      <c r="D452" s="75" t="str">
        <f>ORÇAMENTO!D235</f>
        <v>U N I A O</v>
      </c>
      <c r="E452" s="82"/>
      <c r="F452" s="354"/>
      <c r="G452" s="369"/>
      <c r="H452" s="369"/>
      <c r="I452" s="369"/>
      <c r="J452" s="370"/>
    </row>
    <row r="453" spans="1:10" x14ac:dyDescent="0.3">
      <c r="A453" s="247" t="str">
        <f>ORÇAMENTO!A236</f>
        <v>7.91</v>
      </c>
      <c r="B453" s="73" t="str">
        <f>ORÇAMENTO!B236</f>
        <v>GOINFRA</v>
      </c>
      <c r="C453" s="74">
        <f>ORÇAMENTO!C236</f>
        <v>81463</v>
      </c>
      <c r="D453" s="75" t="str">
        <f>ORÇAMENTO!D236</f>
        <v xml:space="preserve">UNIAO SOLDAVEL DIAMETRO 32 mm </v>
      </c>
      <c r="E453" s="82" t="str">
        <f>ORÇAMENTO!F236</f>
        <v>und.</v>
      </c>
      <c r="F453" s="354">
        <f>ORÇAMENTO!E236</f>
        <v>8</v>
      </c>
      <c r="G453" s="369"/>
      <c r="H453" s="369"/>
      <c r="I453" s="369"/>
      <c r="J453" s="370"/>
    </row>
    <row r="454" spans="1:10" x14ac:dyDescent="0.3">
      <c r="A454" s="247" t="str">
        <f>ORÇAMENTO!A237</f>
        <v>7.92</v>
      </c>
      <c r="B454" s="73" t="str">
        <f>ORÇAMENTO!B237</f>
        <v>GOINFRA</v>
      </c>
      <c r="C454" s="74">
        <f>ORÇAMENTO!C237</f>
        <v>81464</v>
      </c>
      <c r="D454" s="75" t="str">
        <f>ORÇAMENTO!D237</f>
        <v xml:space="preserve">UNIAO SOLDAVEL DIAMETRO 40 mm </v>
      </c>
      <c r="E454" s="82" t="str">
        <f>ORÇAMENTO!F237</f>
        <v>und.</v>
      </c>
      <c r="F454" s="354">
        <f>ORÇAMENTO!E237</f>
        <v>9</v>
      </c>
      <c r="G454" s="369"/>
      <c r="H454" s="369"/>
      <c r="I454" s="369"/>
      <c r="J454" s="370"/>
    </row>
    <row r="455" spans="1:10" x14ac:dyDescent="0.3">
      <c r="A455" s="247" t="str">
        <f>ORÇAMENTO!A238</f>
        <v>7.93</v>
      </c>
      <c r="B455" s="73" t="str">
        <f>ORÇAMENTO!B238</f>
        <v>GOINFRA</v>
      </c>
      <c r="C455" s="74">
        <f>ORÇAMENTO!C238</f>
        <v>81535</v>
      </c>
      <c r="D455" s="75" t="str">
        <f>ORÇAMENTO!D238</f>
        <v>C U R V A S</v>
      </c>
      <c r="E455" s="82"/>
      <c r="F455" s="354"/>
      <c r="G455" s="369"/>
      <c r="H455" s="369"/>
      <c r="I455" s="369"/>
      <c r="J455" s="370"/>
    </row>
    <row r="456" spans="1:10" x14ac:dyDescent="0.3">
      <c r="A456" s="247" t="str">
        <f>ORÇAMENTO!A239</f>
        <v>7.94</v>
      </c>
      <c r="B456" s="73" t="str">
        <f>ORÇAMENTO!B239</f>
        <v>GOINFRA</v>
      </c>
      <c r="C456" s="74">
        <f>ORÇAMENTO!C239</f>
        <v>81537</v>
      </c>
      <c r="D456" s="75" t="str">
        <f>ORÇAMENTO!D239</f>
        <v xml:space="preserve">CURVA 90 GRAUS SOLDAVEL DIAMETRO 25 mm </v>
      </c>
      <c r="E456" s="82" t="str">
        <f>ORÇAMENTO!F239</f>
        <v>und.</v>
      </c>
      <c r="F456" s="354">
        <f>ORÇAMENTO!E239</f>
        <v>42</v>
      </c>
      <c r="G456" s="369"/>
      <c r="H456" s="369"/>
      <c r="I456" s="369"/>
      <c r="J456" s="370"/>
    </row>
    <row r="457" spans="1:10" x14ac:dyDescent="0.3">
      <c r="A457" s="247" t="str">
        <f>ORÇAMENTO!A240</f>
        <v>7.95</v>
      </c>
      <c r="B457" s="73" t="str">
        <f>ORÇAMENTO!B240</f>
        <v>GOINFRA</v>
      </c>
      <c r="C457" s="74">
        <f>ORÇAMENTO!C240</f>
        <v>81538</v>
      </c>
      <c r="D457" s="75" t="str">
        <f>ORÇAMENTO!D240</f>
        <v xml:space="preserve"> CURVA 90 GRAUS SOLDAVEL DIAMETRO 32 mm </v>
      </c>
      <c r="E457" s="82" t="str">
        <f>ORÇAMENTO!F240</f>
        <v>und.</v>
      </c>
      <c r="F457" s="354">
        <f>ORÇAMENTO!E240</f>
        <v>13</v>
      </c>
      <c r="G457" s="369"/>
      <c r="H457" s="369"/>
      <c r="I457" s="369"/>
      <c r="J457" s="370"/>
    </row>
    <row r="458" spans="1:10" x14ac:dyDescent="0.3">
      <c r="A458" s="247" t="str">
        <f>ORÇAMENTO!A241</f>
        <v>7.96</v>
      </c>
      <c r="B458" s="73" t="str">
        <f>ORÇAMENTO!B241</f>
        <v>GOINFRA</v>
      </c>
      <c r="C458" s="74">
        <f>ORÇAMENTO!C241</f>
        <v>81539</v>
      </c>
      <c r="D458" s="75" t="str">
        <f>ORÇAMENTO!D241</f>
        <v xml:space="preserve">CURVA 90 GRAUS SOLDAVEL DIAMETRO 40 mm </v>
      </c>
      <c r="E458" s="82" t="str">
        <f>ORÇAMENTO!F241</f>
        <v>und.</v>
      </c>
      <c r="F458" s="354">
        <f>ORÇAMENTO!E241</f>
        <v>5</v>
      </c>
      <c r="G458" s="369"/>
      <c r="H458" s="369"/>
      <c r="I458" s="369"/>
      <c r="J458" s="370"/>
    </row>
    <row r="459" spans="1:10" x14ac:dyDescent="0.3">
      <c r="A459" s="247" t="str">
        <f>ORÇAMENTO!A242</f>
        <v>7.97</v>
      </c>
      <c r="B459" s="73" t="str">
        <f>ORÇAMENTO!B242</f>
        <v>GOINFRA</v>
      </c>
      <c r="C459" s="74">
        <f>ORÇAMENTO!C242</f>
        <v>81541</v>
      </c>
      <c r="D459" s="75" t="str">
        <f>ORÇAMENTO!D242</f>
        <v xml:space="preserve">CURVA 90 GRAUS SOLDAVEL DIAMETRO 60 mm </v>
      </c>
      <c r="E459" s="82" t="str">
        <f>ORÇAMENTO!F242</f>
        <v>und.</v>
      </c>
      <c r="F459" s="354">
        <f>ORÇAMENTO!E242</f>
        <v>1</v>
      </c>
      <c r="G459" s="369"/>
      <c r="H459" s="369"/>
      <c r="I459" s="369"/>
      <c r="J459" s="370"/>
    </row>
    <row r="460" spans="1:10" x14ac:dyDescent="0.3">
      <c r="A460" s="247" t="str">
        <f>ORÇAMENTO!A243</f>
        <v>7.98</v>
      </c>
      <c r="B460" s="73" t="str">
        <f>ORÇAMENTO!B243</f>
        <v>GOINFRA</v>
      </c>
      <c r="C460" s="74">
        <f>ORÇAMENTO!C243</f>
        <v>81600</v>
      </c>
      <c r="D460" s="75" t="str">
        <f>ORÇAMENTO!D243</f>
        <v>E S G O T O S A N I T A R I O</v>
      </c>
      <c r="E460" s="82"/>
      <c r="F460" s="354"/>
      <c r="G460" s="369"/>
      <c r="H460" s="369"/>
      <c r="I460" s="369"/>
      <c r="J460" s="370"/>
    </row>
    <row r="461" spans="1:10" x14ac:dyDescent="0.3">
      <c r="A461" s="247" t="str">
        <f>ORÇAMENTO!A244</f>
        <v>7.99</v>
      </c>
      <c r="B461" s="73" t="str">
        <f>ORÇAMENTO!B244</f>
        <v>GOINFRA</v>
      </c>
      <c r="C461" s="74">
        <f>ORÇAMENTO!C244</f>
        <v>81601</v>
      </c>
      <c r="D461" s="75" t="str">
        <f>ORÇAMENTO!D244</f>
        <v>B U C H A S</v>
      </c>
      <c r="E461" s="82"/>
      <c r="F461" s="354"/>
      <c r="G461" s="369"/>
      <c r="H461" s="369"/>
      <c r="I461" s="369"/>
      <c r="J461" s="370"/>
    </row>
    <row r="462" spans="1:10" x14ac:dyDescent="0.3">
      <c r="A462" s="247" t="str">
        <f>ORÇAMENTO!A245</f>
        <v>7.100</v>
      </c>
      <c r="B462" s="73" t="str">
        <f>ORÇAMENTO!B245</f>
        <v>GOINFRA</v>
      </c>
      <c r="C462" s="74">
        <f>ORÇAMENTO!C245</f>
        <v>81602</v>
      </c>
      <c r="D462" s="75" t="str">
        <f>ORÇAMENTO!D245</f>
        <v>BUCHA DE REDUCAO LONGA DIAM. 50 X 40 MM</v>
      </c>
      <c r="E462" s="82" t="str">
        <f>ORÇAMENTO!F245</f>
        <v>und.</v>
      </c>
      <c r="F462" s="354">
        <f>ORÇAMENTO!E245</f>
        <v>25</v>
      </c>
      <c r="G462" s="369"/>
      <c r="H462" s="369"/>
      <c r="I462" s="369"/>
      <c r="J462" s="370"/>
    </row>
    <row r="463" spans="1:10" x14ac:dyDescent="0.3">
      <c r="A463" s="247" t="str">
        <f>ORÇAMENTO!A246</f>
        <v>7.101</v>
      </c>
      <c r="B463" s="73" t="str">
        <f>ORÇAMENTO!B246</f>
        <v>GOINFRA</v>
      </c>
      <c r="C463" s="74">
        <f>ORÇAMENTO!C246</f>
        <v>81660</v>
      </c>
      <c r="D463" s="75" t="str">
        <f>ORÇAMENTO!D246</f>
        <v>C O R P O DE C A I X A S I F O N A D A/R A L O</v>
      </c>
      <c r="E463" s="82"/>
      <c r="F463" s="354"/>
      <c r="G463" s="369"/>
      <c r="H463" s="369"/>
      <c r="I463" s="369"/>
      <c r="J463" s="370"/>
    </row>
    <row r="464" spans="1:10" x14ac:dyDescent="0.3">
      <c r="A464" s="247" t="str">
        <f>ORÇAMENTO!A247</f>
        <v>7.102</v>
      </c>
      <c r="B464" s="73" t="str">
        <f>ORÇAMENTO!B247</f>
        <v>GOINFRA</v>
      </c>
      <c r="C464" s="74">
        <f>ORÇAMENTO!C247</f>
        <v>81662</v>
      </c>
      <c r="D464" s="75" t="str">
        <f>ORÇAMENTO!D247</f>
        <v xml:space="preserve">CORPO CX. SIFONADA DIAM. 100 X 150 X 50 </v>
      </c>
      <c r="E464" s="82" t="str">
        <f>ORÇAMENTO!F247</f>
        <v>und.</v>
      </c>
      <c r="F464" s="354">
        <f>ORÇAMENTO!E247</f>
        <v>6</v>
      </c>
      <c r="G464" s="369"/>
      <c r="H464" s="369"/>
      <c r="I464" s="369"/>
      <c r="J464" s="370"/>
    </row>
    <row r="465" spans="1:10" x14ac:dyDescent="0.3">
      <c r="A465" s="247" t="str">
        <f>ORÇAMENTO!A248</f>
        <v>7.103</v>
      </c>
      <c r="B465" s="73" t="str">
        <f>ORÇAMENTO!B248</f>
        <v>GOINFRA</v>
      </c>
      <c r="C465" s="74">
        <f>ORÇAMENTO!C248</f>
        <v>81663</v>
      </c>
      <c r="D465" s="75" t="str">
        <f>ORÇAMENTO!D248</f>
        <v xml:space="preserve">CORPO CX. SIFONADA DIAM. 150 X 150 X 50 </v>
      </c>
      <c r="E465" s="82" t="str">
        <f>ORÇAMENTO!F248</f>
        <v>und.</v>
      </c>
      <c r="F465" s="354">
        <f>ORÇAMENTO!E248</f>
        <v>14</v>
      </c>
      <c r="G465" s="369"/>
      <c r="H465" s="369"/>
      <c r="I465" s="369"/>
      <c r="J465" s="370"/>
    </row>
    <row r="466" spans="1:10" x14ac:dyDescent="0.3">
      <c r="A466" s="247" t="str">
        <f>ORÇAMENTO!A249</f>
        <v>7.104</v>
      </c>
      <c r="B466" s="73" t="str">
        <f>ORÇAMENTO!B249</f>
        <v>GOINFRA</v>
      </c>
      <c r="C466" s="74">
        <f>ORÇAMENTO!C249</f>
        <v>81664</v>
      </c>
      <c r="D466" s="75" t="str">
        <f>ORÇAMENTO!D249</f>
        <v xml:space="preserve">CORPO CX. SIFONADA DIAM. 150 X 185 X 75 </v>
      </c>
      <c r="E466" s="82" t="str">
        <f>ORÇAMENTO!F249</f>
        <v>und.</v>
      </c>
      <c r="F466" s="354">
        <f>ORÇAMENTO!E249</f>
        <v>2</v>
      </c>
      <c r="G466" s="369"/>
      <c r="H466" s="369"/>
      <c r="I466" s="369"/>
      <c r="J466" s="370"/>
    </row>
    <row r="467" spans="1:10" x14ac:dyDescent="0.3">
      <c r="A467" s="247" t="str">
        <f>ORÇAMENTO!A250</f>
        <v>7.105</v>
      </c>
      <c r="B467" s="73" t="str">
        <f>ORÇAMENTO!B250</f>
        <v>GOINFRA</v>
      </c>
      <c r="C467" s="74">
        <f>ORÇAMENTO!C250</f>
        <v>81690</v>
      </c>
      <c r="D467" s="75" t="str">
        <f>ORÇAMENTO!D250</f>
        <v xml:space="preserve">CORPO RALO SIFONADO CILINDRICO 100 X 40 </v>
      </c>
      <c r="E467" s="82" t="str">
        <f>ORÇAMENTO!F250</f>
        <v>und.</v>
      </c>
      <c r="F467" s="354">
        <f>ORÇAMENTO!E250</f>
        <v>17</v>
      </c>
      <c r="G467" s="369"/>
      <c r="H467" s="369"/>
      <c r="I467" s="369"/>
      <c r="J467" s="370"/>
    </row>
    <row r="468" spans="1:10" x14ac:dyDescent="0.3">
      <c r="A468" s="247" t="str">
        <f>ORÇAMENTO!A251</f>
        <v>7.106</v>
      </c>
      <c r="B468" s="73" t="str">
        <f>ORÇAMENTO!B251</f>
        <v>GOINFRA</v>
      </c>
      <c r="C468" s="74">
        <f>ORÇAMENTO!C251</f>
        <v>81691</v>
      </c>
      <c r="D468" s="75" t="str">
        <f>ORÇAMENTO!D251</f>
        <v xml:space="preserve">CORPO RALO SIFONADO QUADRADO 100 X 53 X 40 </v>
      </c>
      <c r="E468" s="82" t="str">
        <f>ORÇAMENTO!F251</f>
        <v>und.</v>
      </c>
      <c r="F468" s="354">
        <f>ORÇAMENTO!E251</f>
        <v>15</v>
      </c>
      <c r="G468" s="369"/>
      <c r="H468" s="369"/>
      <c r="I468" s="369"/>
      <c r="J468" s="370"/>
    </row>
    <row r="469" spans="1:10" x14ac:dyDescent="0.3">
      <c r="A469" s="247" t="str">
        <f>ORÇAMENTO!A252</f>
        <v>7.107</v>
      </c>
      <c r="B469" s="73" t="str">
        <f>ORÇAMENTO!B252</f>
        <v>GOINFRA</v>
      </c>
      <c r="C469" s="74">
        <f>ORÇAMENTO!C252</f>
        <v>81700</v>
      </c>
      <c r="D469" s="75" t="str">
        <f>ORÇAMENTO!D252</f>
        <v xml:space="preserve"> C U R V A S</v>
      </c>
      <c r="E469" s="82"/>
      <c r="F469" s="354"/>
      <c r="G469" s="369"/>
      <c r="H469" s="369"/>
      <c r="I469" s="369"/>
      <c r="J469" s="370"/>
    </row>
    <row r="470" spans="1:10" x14ac:dyDescent="0.3">
      <c r="A470" s="247" t="str">
        <f>ORÇAMENTO!A253</f>
        <v>7.108</v>
      </c>
      <c r="B470" s="73" t="str">
        <f>ORÇAMENTO!B253</f>
        <v>GOINFRA</v>
      </c>
      <c r="C470" s="74">
        <f>ORÇAMENTO!C253</f>
        <v>81701</v>
      </c>
      <c r="D470" s="75" t="str">
        <f>ORÇAMENTO!D253</f>
        <v xml:space="preserve"> CURVA 45 GRAUS DIAMETRO 40 MM </v>
      </c>
      <c r="E470" s="82" t="str">
        <f>ORÇAMENTO!F253</f>
        <v>und.</v>
      </c>
      <c r="F470" s="354">
        <f>ORÇAMENTO!E253</f>
        <v>12</v>
      </c>
      <c r="G470" s="369"/>
      <c r="H470" s="369"/>
      <c r="I470" s="369"/>
      <c r="J470" s="370"/>
    </row>
    <row r="471" spans="1:10" x14ac:dyDescent="0.3">
      <c r="A471" s="247" t="str">
        <f>ORÇAMENTO!A254</f>
        <v>7.109</v>
      </c>
      <c r="B471" s="73" t="str">
        <f>ORÇAMENTO!B254</f>
        <v>GOINFRA</v>
      </c>
      <c r="C471" s="74">
        <f>ORÇAMENTO!C254</f>
        <v>81733</v>
      </c>
      <c r="D471" s="75" t="str">
        <f>ORÇAMENTO!D254</f>
        <v xml:space="preserve">CURVA 90 GRAUS CURTA DIAM. 100 MM </v>
      </c>
      <c r="E471" s="82" t="str">
        <f>ORÇAMENTO!F254</f>
        <v>und.</v>
      </c>
      <c r="F471" s="354">
        <f>ORÇAMENTO!E254</f>
        <v>28</v>
      </c>
      <c r="G471" s="369"/>
      <c r="H471" s="369"/>
      <c r="I471" s="369"/>
      <c r="J471" s="370"/>
    </row>
    <row r="472" spans="1:10" x14ac:dyDescent="0.3">
      <c r="A472" s="247" t="str">
        <f>ORÇAMENTO!A255</f>
        <v>7.110</v>
      </c>
      <c r="B472" s="73" t="str">
        <f>ORÇAMENTO!B255</f>
        <v>GOINFRA</v>
      </c>
      <c r="C472" s="74">
        <f>ORÇAMENTO!C255</f>
        <v>81730</v>
      </c>
      <c r="D472" s="75" t="str">
        <f>ORÇAMENTO!D255</f>
        <v xml:space="preserve">CURVA 90 GRAUS CURTA DIAM. 40 MM </v>
      </c>
      <c r="E472" s="82" t="str">
        <f>ORÇAMENTO!F255</f>
        <v>und.</v>
      </c>
      <c r="F472" s="354">
        <f>ORÇAMENTO!E255</f>
        <v>53</v>
      </c>
      <c r="G472" s="369"/>
      <c r="H472" s="369"/>
      <c r="I472" s="369"/>
      <c r="J472" s="370"/>
    </row>
    <row r="473" spans="1:10" x14ac:dyDescent="0.3">
      <c r="A473" s="247" t="str">
        <f>ORÇAMENTO!A256</f>
        <v>7.111</v>
      </c>
      <c r="B473" s="73" t="str">
        <f>ORÇAMENTO!B256</f>
        <v>GOINFRA</v>
      </c>
      <c r="C473" s="74">
        <f>ORÇAMENTO!C256</f>
        <v>81731</v>
      </c>
      <c r="D473" s="75" t="str">
        <f>ORÇAMENTO!D256</f>
        <v xml:space="preserve">CURVA 90 GRAUS CURTA DIAM. 50 MM </v>
      </c>
      <c r="E473" s="82" t="str">
        <f>ORÇAMENTO!F256</f>
        <v>und.</v>
      </c>
      <c r="F473" s="354">
        <f>ORÇAMENTO!E256</f>
        <v>15</v>
      </c>
      <c r="G473" s="369"/>
      <c r="H473" s="369"/>
      <c r="I473" s="369"/>
      <c r="J473" s="370"/>
    </row>
    <row r="474" spans="1:10" x14ac:dyDescent="0.3">
      <c r="A474" s="247" t="str">
        <f>ORÇAMENTO!A257</f>
        <v>7.112</v>
      </c>
      <c r="B474" s="73" t="str">
        <f>ORÇAMENTO!B257</f>
        <v>GOINFRA</v>
      </c>
      <c r="C474" s="74">
        <f>ORÇAMENTO!C257</f>
        <v>81732</v>
      </c>
      <c r="D474" s="75" t="str">
        <f>ORÇAMENTO!D257</f>
        <v xml:space="preserve">CURVA 90 GRAUS CURTA DIAM. 75 MM </v>
      </c>
      <c r="E474" s="82" t="str">
        <f>ORÇAMENTO!F257</f>
        <v>und.</v>
      </c>
      <c r="F474" s="354">
        <f>ORÇAMENTO!E257</f>
        <v>2</v>
      </c>
      <c r="G474" s="369"/>
      <c r="H474" s="369"/>
      <c r="I474" s="369"/>
      <c r="J474" s="370"/>
    </row>
    <row r="475" spans="1:10" x14ac:dyDescent="0.3">
      <c r="A475" s="247" t="str">
        <f>ORÇAMENTO!A258</f>
        <v>7.113</v>
      </c>
      <c r="B475" s="73" t="str">
        <f>ORÇAMENTO!B258</f>
        <v>GOINFRA</v>
      </c>
      <c r="C475" s="74">
        <f>ORÇAMENTO!C258</f>
        <v>81735</v>
      </c>
      <c r="D475" s="75" t="str">
        <f>ORÇAMENTO!D258</f>
        <v xml:space="preserve">CURVA 90 GRAUS LONGA DIAM. 50 MM </v>
      </c>
      <c r="E475" s="82" t="str">
        <f>ORÇAMENTO!F258</f>
        <v>und.</v>
      </c>
      <c r="F475" s="354">
        <f>ORÇAMENTO!E258</f>
        <v>53</v>
      </c>
      <c r="G475" s="369"/>
      <c r="H475" s="369"/>
      <c r="I475" s="369"/>
      <c r="J475" s="370"/>
    </row>
    <row r="476" spans="1:10" x14ac:dyDescent="0.3">
      <c r="A476" s="247" t="str">
        <f>ORÇAMENTO!A259</f>
        <v>7.114</v>
      </c>
      <c r="B476" s="73" t="str">
        <f>ORÇAMENTO!B259</f>
        <v>GOINFRA</v>
      </c>
      <c r="C476" s="74">
        <f>ORÇAMENTO!C259</f>
        <v>81736</v>
      </c>
      <c r="D476" s="75" t="str">
        <f>ORÇAMENTO!D259</f>
        <v xml:space="preserve">CURVA 90 GRAUS LONGA DIAM. 75 MM </v>
      </c>
      <c r="E476" s="82" t="str">
        <f>ORÇAMENTO!F259</f>
        <v>und.</v>
      </c>
      <c r="F476" s="354">
        <f>ORÇAMENTO!E259</f>
        <v>27</v>
      </c>
      <c r="G476" s="369"/>
      <c r="H476" s="369"/>
      <c r="I476" s="369"/>
      <c r="J476" s="370"/>
    </row>
    <row r="477" spans="1:10" x14ac:dyDescent="0.3">
      <c r="A477" s="247" t="str">
        <f>ORÇAMENTO!A260</f>
        <v>7.115</v>
      </c>
      <c r="B477" s="73" t="str">
        <f>ORÇAMENTO!B260</f>
        <v>GOINFRA</v>
      </c>
      <c r="C477" s="74">
        <f>ORÇAMENTO!C260</f>
        <v>81737</v>
      </c>
      <c r="D477" s="75" t="str">
        <f>ORÇAMENTO!D260</f>
        <v xml:space="preserve">CURVA 90 GRAUS LONGA DIAM. 100 MM </v>
      </c>
      <c r="E477" s="82" t="str">
        <f>ORÇAMENTO!F260</f>
        <v>und.</v>
      </c>
      <c r="F477" s="354">
        <f>ORÇAMENTO!E260</f>
        <v>23</v>
      </c>
      <c r="G477" s="369"/>
      <c r="H477" s="369"/>
      <c r="I477" s="369"/>
      <c r="J477" s="370"/>
    </row>
    <row r="478" spans="1:10" x14ac:dyDescent="0.3">
      <c r="A478" s="247" t="str">
        <f>ORÇAMENTO!A261</f>
        <v>7.116</v>
      </c>
      <c r="B478" s="73" t="str">
        <f>ORÇAMENTO!B261</f>
        <v>GOINFRA</v>
      </c>
      <c r="C478" s="74">
        <f>ORÇAMENTO!C261</f>
        <v>81810</v>
      </c>
      <c r="D478" s="75" t="str">
        <f>ORÇAMENTO!D261</f>
        <v>D I V E R S O S</v>
      </c>
      <c r="E478" s="82"/>
      <c r="F478" s="354"/>
      <c r="G478" s="369"/>
      <c r="H478" s="369"/>
      <c r="I478" s="369"/>
      <c r="J478" s="370"/>
    </row>
    <row r="479" spans="1:10" x14ac:dyDescent="0.3">
      <c r="A479" s="247" t="str">
        <f>ORÇAMENTO!A262</f>
        <v>7.117</v>
      </c>
      <c r="B479" s="73" t="str">
        <f>ORÇAMENTO!B262</f>
        <v>GOINFRA</v>
      </c>
      <c r="C479" s="74">
        <f>ORÇAMENTO!C262</f>
        <v>81811</v>
      </c>
      <c r="D479" s="75" t="str">
        <f>ORÇAMENTO!D262</f>
        <v xml:space="preserve">HIDROMETRO DIAM.RAMAL = 25 MM VAZAO =1,5 A 3 M3 </v>
      </c>
      <c r="E479" s="82" t="str">
        <f>ORÇAMENTO!F262</f>
        <v>und.</v>
      </c>
      <c r="F479" s="354">
        <f>ORÇAMENTO!E262</f>
        <v>1</v>
      </c>
      <c r="G479" s="369"/>
      <c r="H479" s="369"/>
      <c r="I479" s="369"/>
      <c r="J479" s="370"/>
    </row>
    <row r="480" spans="1:10" x14ac:dyDescent="0.3">
      <c r="A480" s="247" t="str">
        <f>ORÇAMENTO!A263</f>
        <v>7.118</v>
      </c>
      <c r="B480" s="73" t="str">
        <f>ORÇAMENTO!B263</f>
        <v>GOINFRA</v>
      </c>
      <c r="C480" s="74">
        <f>ORÇAMENTO!C263</f>
        <v>81815</v>
      </c>
      <c r="D480" s="75" t="str">
        <f>ORÇAMENTO!D263</f>
        <v xml:space="preserve">KIT CAVALETE D=25MM P/HIDRÔMETRO 1,5-3,0-5,0 M3/MURETA/CAIXA </v>
      </c>
      <c r="E480" s="82" t="str">
        <f>ORÇAMENTO!F263</f>
        <v>und.</v>
      </c>
      <c r="F480" s="354">
        <f>ORÇAMENTO!E263</f>
        <v>1</v>
      </c>
      <c r="G480" s="369"/>
      <c r="H480" s="369"/>
      <c r="I480" s="369"/>
      <c r="J480" s="370"/>
    </row>
    <row r="481" spans="1:10" x14ac:dyDescent="0.3">
      <c r="A481" s="247" t="str">
        <f>ORÇAMENTO!A264</f>
        <v>7.119</v>
      </c>
      <c r="B481" s="73" t="str">
        <f>ORÇAMENTO!B264</f>
        <v>GOINFRA</v>
      </c>
      <c r="C481" s="74">
        <f>ORÇAMENTO!C264</f>
        <v>81827</v>
      </c>
      <c r="D481" s="75" t="str">
        <f>ORÇAMENTO!D264</f>
        <v xml:space="preserve">CAIXA DE AREIA 60X60CM FUNDO DE BRITA SEM TAMPA </v>
      </c>
      <c r="E481" s="82" t="str">
        <f>ORÇAMENTO!F264</f>
        <v>und.</v>
      </c>
      <c r="F481" s="354">
        <f>ORÇAMENTO!E264</f>
        <v>7</v>
      </c>
      <c r="G481" s="369"/>
      <c r="H481" s="369"/>
      <c r="I481" s="369"/>
      <c r="J481" s="370"/>
    </row>
    <row r="482" spans="1:10" ht="28.8" x14ac:dyDescent="0.3">
      <c r="A482" s="247" t="str">
        <f>ORÇAMENTO!A265</f>
        <v>7.120</v>
      </c>
      <c r="B482" s="73" t="str">
        <f>ORÇAMENTO!B265</f>
        <v>GOINFRA</v>
      </c>
      <c r="C482" s="74">
        <f>ORÇAMENTO!C265</f>
        <v>81828</v>
      </c>
      <c r="D482" s="75" t="str">
        <f>ORÇAMENTO!D265</f>
        <v>CAIXA DE AREIA 60X60CM FUNDO DE BRITA COM GRELHA METÁLICA FERRO CHATO PADRÃO GOINFRA</v>
      </c>
      <c r="E482" s="82" t="str">
        <f>ORÇAMENTO!F265</f>
        <v>und.</v>
      </c>
      <c r="F482" s="354">
        <f>ORÇAMENTO!E265</f>
        <v>16</v>
      </c>
      <c r="G482" s="369"/>
      <c r="H482" s="369"/>
      <c r="I482" s="369"/>
      <c r="J482" s="370"/>
    </row>
    <row r="483" spans="1:10" x14ac:dyDescent="0.3">
      <c r="A483" s="247" t="str">
        <f>ORÇAMENTO!A266</f>
        <v>7.121</v>
      </c>
      <c r="B483" s="73" t="str">
        <f>ORÇAMENTO!B266</f>
        <v>GOINFRA</v>
      </c>
      <c r="C483" s="74">
        <f>ORÇAMENTO!C266</f>
        <v>81835</v>
      </c>
      <c r="D483" s="75" t="str">
        <f>ORÇAMENTO!D266</f>
        <v xml:space="preserve">CAIXA DE AREIA - TAMPA EM GRELHA DE CONCRETO ARMADO 25MPA E=5CM </v>
      </c>
      <c r="E483" s="82" t="str">
        <f>ORÇAMENTO!F266</f>
        <v xml:space="preserve">m2 </v>
      </c>
      <c r="F483" s="354">
        <f>ORÇAMENTO!E266</f>
        <v>2.52</v>
      </c>
      <c r="G483" s="369"/>
      <c r="H483" s="369"/>
      <c r="I483" s="369"/>
      <c r="J483" s="370"/>
    </row>
    <row r="484" spans="1:10" x14ac:dyDescent="0.3">
      <c r="A484" s="247" t="str">
        <f>ORÇAMENTO!A267</f>
        <v>7.122</v>
      </c>
      <c r="B484" s="73" t="str">
        <f>ORÇAMENTO!B267</f>
        <v>GOINFRA</v>
      </c>
      <c r="C484" s="74">
        <f>ORÇAMENTO!C267</f>
        <v>81829</v>
      </c>
      <c r="D484" s="75" t="str">
        <f>ORÇAMENTO!D267</f>
        <v xml:space="preserve">CAIXA DE INSPEÇÃO - TAMPA EM CONCRETO ARMADO 25 MPA E=5CM </v>
      </c>
      <c r="E484" s="82" t="str">
        <f>ORÇAMENTO!F267</f>
        <v xml:space="preserve">m2 </v>
      </c>
      <c r="F484" s="354">
        <f>ORÇAMENTO!E267</f>
        <v>2.88</v>
      </c>
      <c r="G484" s="369"/>
      <c r="H484" s="369"/>
      <c r="I484" s="369"/>
      <c r="J484" s="370"/>
    </row>
    <row r="485" spans="1:10" ht="28.8" x14ac:dyDescent="0.3">
      <c r="A485" s="247" t="str">
        <f>ORÇAMENTO!A268</f>
        <v>7.123</v>
      </c>
      <c r="B485" s="73" t="str">
        <f>ORÇAMENTO!B268</f>
        <v>GOINFRA</v>
      </c>
      <c r="C485" s="74">
        <f>ORÇAMENTO!C268</f>
        <v>81830</v>
      </c>
      <c r="D485" s="75" t="str">
        <f>ORÇAMENTO!D268</f>
        <v>CAIXA DE INSPEÇÃO - LASTRO DE CONCRETO (COM ADIÇÃO DE IMPERMEABILIZANTE) 20MPA E=5CM PARA O FUNDO</v>
      </c>
      <c r="E485" s="82" t="str">
        <f>ORÇAMENTO!F268</f>
        <v xml:space="preserve">m3 </v>
      </c>
      <c r="F485" s="354">
        <f>ORÇAMENTO!E268</f>
        <v>1.7999999999999999E-2</v>
      </c>
      <c r="G485" s="369"/>
      <c r="H485" s="369"/>
      <c r="I485" s="369"/>
      <c r="J485" s="370"/>
    </row>
    <row r="486" spans="1:10" ht="28.8" x14ac:dyDescent="0.3">
      <c r="A486" s="247" t="str">
        <f>ORÇAMENTO!A269</f>
        <v>7.124</v>
      </c>
      <c r="B486" s="73" t="str">
        <f>ORÇAMENTO!B269</f>
        <v>GOINFRA</v>
      </c>
      <c r="C486" s="74">
        <f>ORÇAMENTO!C269</f>
        <v>81831</v>
      </c>
      <c r="D486" s="75" t="str">
        <f>ORÇAMENTO!D269</f>
        <v>CAIXA DE INSPEÇÃO - ALVENARIA DE 1/2 VEZ COM REVESTIMENTO INTERNO EM REBOCO PAULISTA A-14 (COM ADIÇÃO DE IMPERMEABILIZANTE)</v>
      </c>
      <c r="E486" s="82" t="str">
        <f>ORÇAMENTO!F269</f>
        <v xml:space="preserve">m2 </v>
      </c>
      <c r="F486" s="354">
        <f>ORÇAMENTO!E269</f>
        <v>11.52</v>
      </c>
      <c r="G486" s="369"/>
      <c r="H486" s="369"/>
      <c r="I486" s="369"/>
      <c r="J486" s="370"/>
    </row>
    <row r="487" spans="1:10" x14ac:dyDescent="0.3">
      <c r="A487" s="247" t="str">
        <f>ORÇAMENTO!A270</f>
        <v>7.125</v>
      </c>
      <c r="B487" s="73" t="str">
        <f>ORÇAMENTO!B270</f>
        <v>GOINFRA</v>
      </c>
      <c r="C487" s="74">
        <f>ORÇAMENTO!C270</f>
        <v>81833</v>
      </c>
      <c r="D487" s="75" t="str">
        <f>ORÇAMENTO!D270</f>
        <v xml:space="preserve">CAIXA DE INSPEÇÃO - ESCAVAÇÃO MANUAL / REATERRO/ APILOAMENTO DO FUNDO </v>
      </c>
      <c r="E487" s="82" t="str">
        <f>ORÇAMENTO!F270</f>
        <v>m3</v>
      </c>
      <c r="F487" s="354">
        <f>ORÇAMENTO!E270</f>
        <v>1.728</v>
      </c>
      <c r="G487" s="369"/>
      <c r="H487" s="369"/>
      <c r="I487" s="369"/>
      <c r="J487" s="370"/>
    </row>
    <row r="488" spans="1:10" x14ac:dyDescent="0.3">
      <c r="A488" s="247" t="str">
        <f>ORÇAMENTO!A271</f>
        <v>7.126</v>
      </c>
      <c r="B488" s="73" t="str">
        <f>ORÇAMENTO!B271</f>
        <v>GOINFRA</v>
      </c>
      <c r="C488" s="74">
        <f>ORÇAMENTO!C271</f>
        <v>81842</v>
      </c>
      <c r="D488" s="75" t="str">
        <f>ORÇAMENTO!D271</f>
        <v>TAMPÃO DE FERRO FUNDIDO PARA POÇO DE VISITA T-60 SIMPLES PARA TRÁFEGO PESADO</v>
      </c>
      <c r="E488" s="82" t="str">
        <f>ORÇAMENTO!F271</f>
        <v>und.</v>
      </c>
      <c r="F488" s="354">
        <f>ORÇAMENTO!E271</f>
        <v>1</v>
      </c>
      <c r="G488" s="369"/>
      <c r="H488" s="369"/>
      <c r="I488" s="369"/>
      <c r="J488" s="370"/>
    </row>
    <row r="489" spans="1:10" x14ac:dyDescent="0.3">
      <c r="A489" s="247" t="str">
        <f>ORÇAMENTO!A272</f>
        <v>7.127</v>
      </c>
      <c r="B489" s="73" t="str">
        <f>ORÇAMENTO!B272</f>
        <v>GOINFRA</v>
      </c>
      <c r="C489" s="74">
        <f>ORÇAMENTO!C272</f>
        <v>81851</v>
      </c>
      <c r="D489" s="75" t="str">
        <f>ORÇAMENTO!D272</f>
        <v xml:space="preserve">CAIXA DE GORDURA 100 L CONCRETO PADRÃO GOINFRA IMPERMEABILIZADA </v>
      </c>
      <c r="E489" s="82" t="str">
        <f>ORÇAMENTO!F272</f>
        <v>und.</v>
      </c>
      <c r="F489" s="354">
        <f>ORÇAMENTO!E272</f>
        <v>2</v>
      </c>
      <c r="G489" s="369"/>
      <c r="H489" s="369"/>
      <c r="I489" s="369"/>
      <c r="J489" s="370"/>
    </row>
    <row r="490" spans="1:10" x14ac:dyDescent="0.3">
      <c r="A490" s="247" t="str">
        <f>ORÇAMENTO!A273</f>
        <v>7.128</v>
      </c>
      <c r="B490" s="73" t="str">
        <f>ORÇAMENTO!B273</f>
        <v>GOINFRA</v>
      </c>
      <c r="C490" s="74">
        <f>ORÇAMENTO!C273</f>
        <v>81861</v>
      </c>
      <c r="D490" s="75" t="str">
        <f>ORÇAMENTO!D273</f>
        <v xml:space="preserve">CAIXA DAGUA POLIETILENO 1000 LTS. C/TAMPA </v>
      </c>
      <c r="E490" s="82" t="str">
        <f>ORÇAMENTO!F273</f>
        <v>und.</v>
      </c>
      <c r="F490" s="354">
        <f>ORÇAMENTO!E273</f>
        <v>5</v>
      </c>
      <c r="G490" s="369"/>
      <c r="H490" s="369"/>
      <c r="I490" s="369"/>
      <c r="J490" s="370"/>
    </row>
    <row r="491" spans="1:10" x14ac:dyDescent="0.3">
      <c r="A491" s="247" t="str">
        <f>ORÇAMENTO!A274</f>
        <v>7.129</v>
      </c>
      <c r="B491" s="73" t="str">
        <f>ORÇAMENTO!B274</f>
        <v>GOINFRA</v>
      </c>
      <c r="C491" s="74">
        <f>ORÇAMENTO!C274</f>
        <v>81881</v>
      </c>
      <c r="D491" s="75" t="str">
        <f>ORÇAMENTO!D274</f>
        <v>RES.METALICO TAÇA AÇO PATINÁVEL-V=10M3COL.SEC.H=6M+FUNDAÇÃO+LOGOTIPO</v>
      </c>
      <c r="E491" s="82" t="str">
        <f>ORÇAMENTO!F274</f>
        <v>und.</v>
      </c>
      <c r="F491" s="354">
        <f>ORÇAMENTO!E274</f>
        <v>1</v>
      </c>
      <c r="G491" s="369"/>
      <c r="H491" s="369"/>
      <c r="I491" s="369"/>
      <c r="J491" s="370"/>
    </row>
    <row r="492" spans="1:10" x14ac:dyDescent="0.3">
      <c r="A492" s="247" t="str">
        <f>ORÇAMENTO!A275</f>
        <v>7.130</v>
      </c>
      <c r="B492" s="73" t="str">
        <f>ORÇAMENTO!B275</f>
        <v>GOINFRA</v>
      </c>
      <c r="C492" s="74">
        <f>ORÇAMENTO!C275</f>
        <v>81920</v>
      </c>
      <c r="D492" s="75" t="str">
        <f>ORÇAMENTO!D275</f>
        <v>J O E L H O S</v>
      </c>
      <c r="E492" s="82"/>
      <c r="F492" s="354"/>
      <c r="G492" s="369"/>
      <c r="H492" s="369"/>
      <c r="I492" s="369"/>
      <c r="J492" s="370"/>
    </row>
    <row r="493" spans="1:10" x14ac:dyDescent="0.3">
      <c r="A493" s="247" t="str">
        <f>ORÇAMENTO!A276</f>
        <v>7.131</v>
      </c>
      <c r="B493" s="73" t="str">
        <f>ORÇAMENTO!B276</f>
        <v>GOINFRA</v>
      </c>
      <c r="C493" s="74">
        <f>ORÇAMENTO!C276</f>
        <v>81927</v>
      </c>
      <c r="D493" s="75" t="str">
        <f>ORÇAMENTO!D276</f>
        <v xml:space="preserve">JOELHO 90 GRAUS C/ANEL 40 mm </v>
      </c>
      <c r="E493" s="82" t="str">
        <f>ORÇAMENTO!F276</f>
        <v>und.</v>
      </c>
      <c r="F493" s="354">
        <f>ORÇAMENTO!E276</f>
        <v>40</v>
      </c>
      <c r="G493" s="369"/>
      <c r="H493" s="369"/>
      <c r="I493" s="369"/>
      <c r="J493" s="370"/>
    </row>
    <row r="494" spans="1:10" x14ac:dyDescent="0.3">
      <c r="A494" s="247" t="str">
        <f>ORÇAMENTO!A277</f>
        <v>7.132</v>
      </c>
      <c r="B494" s="73" t="str">
        <f>ORÇAMENTO!B277</f>
        <v>GOINFRA</v>
      </c>
      <c r="C494" s="74">
        <f>ORÇAMENTO!C277</f>
        <v>81935</v>
      </c>
      <c r="D494" s="75" t="str">
        <f>ORÇAMENTO!D277</f>
        <v xml:space="preserve">JOELHO 90 GRAUS DIAMETRO 40 MM </v>
      </c>
      <c r="E494" s="82" t="str">
        <f>ORÇAMENTO!F277</f>
        <v>und.</v>
      </c>
      <c r="F494" s="354">
        <f>ORÇAMENTO!E277</f>
        <v>2</v>
      </c>
      <c r="G494" s="369"/>
      <c r="H494" s="369"/>
      <c r="I494" s="369"/>
      <c r="J494" s="370"/>
    </row>
    <row r="495" spans="1:10" x14ac:dyDescent="0.3">
      <c r="A495" s="247" t="str">
        <f>ORÇAMENTO!A278</f>
        <v>7.133</v>
      </c>
      <c r="B495" s="73" t="str">
        <f>ORÇAMENTO!B278</f>
        <v>GOINFRA</v>
      </c>
      <c r="C495" s="74">
        <f>ORÇAMENTO!C278</f>
        <v>81936</v>
      </c>
      <c r="D495" s="75" t="str">
        <f>ORÇAMENTO!D278</f>
        <v xml:space="preserve">JOELHO 90 GRAUS DIAMETRO 50 MM </v>
      </c>
      <c r="E495" s="82" t="str">
        <f>ORÇAMENTO!F278</f>
        <v>und.</v>
      </c>
      <c r="F495" s="354">
        <f>ORÇAMENTO!E278</f>
        <v>20</v>
      </c>
      <c r="G495" s="369"/>
      <c r="H495" s="369"/>
      <c r="I495" s="369"/>
      <c r="J495" s="370"/>
    </row>
    <row r="496" spans="1:10" x14ac:dyDescent="0.3">
      <c r="A496" s="247" t="str">
        <f>ORÇAMENTO!A279</f>
        <v>7.134</v>
      </c>
      <c r="B496" s="73" t="str">
        <f>ORÇAMENTO!B279</f>
        <v>GOINFRA</v>
      </c>
      <c r="C496" s="74">
        <f>ORÇAMENTO!C279</f>
        <v>81937</v>
      </c>
      <c r="D496" s="75" t="str">
        <f>ORÇAMENTO!D279</f>
        <v xml:space="preserve">JOELHO 90 GRAUS DIAMETRO 75 MM </v>
      </c>
      <c r="E496" s="82" t="str">
        <f>ORÇAMENTO!F279</f>
        <v>und.</v>
      </c>
      <c r="F496" s="354">
        <f>ORÇAMENTO!E279</f>
        <v>11</v>
      </c>
      <c r="G496" s="369"/>
      <c r="H496" s="369"/>
      <c r="I496" s="369"/>
      <c r="J496" s="370"/>
    </row>
    <row r="497" spans="1:10" x14ac:dyDescent="0.3">
      <c r="A497" s="247" t="str">
        <f>ORÇAMENTO!A280</f>
        <v>7.135</v>
      </c>
      <c r="B497" s="73" t="str">
        <f>ORÇAMENTO!B280</f>
        <v>GOINFRA</v>
      </c>
      <c r="C497" s="74">
        <f>ORÇAMENTO!C280</f>
        <v>81938</v>
      </c>
      <c r="D497" s="75" t="str">
        <f>ORÇAMENTO!D280</f>
        <v xml:space="preserve">JOELHO 90 GRAUS DIAMETRO 100 MM </v>
      </c>
      <c r="E497" s="82" t="str">
        <f>ORÇAMENTO!F280</f>
        <v>und.</v>
      </c>
      <c r="F497" s="354">
        <f>ORÇAMENTO!E280</f>
        <v>25</v>
      </c>
      <c r="G497" s="369"/>
      <c r="H497" s="369"/>
      <c r="I497" s="369"/>
      <c r="J497" s="370"/>
    </row>
    <row r="498" spans="1:10" ht="28.8" x14ac:dyDescent="0.3">
      <c r="A498" s="247" t="str">
        <f>ORÇAMENTO!A281</f>
        <v>7.136</v>
      </c>
      <c r="B498" s="73" t="str">
        <f>ORÇAMENTO!B281</f>
        <v>SINAPI</v>
      </c>
      <c r="C498" s="74">
        <f>ORÇAMENTO!C281</f>
        <v>89591</v>
      </c>
      <c r="D498" s="75" t="str">
        <f>ORÇAMENTO!D281</f>
        <v>JOELHO 45 GRAUS, PVC, SERIE R, ÁGUA PLUVIAL, DN 150 MM, JUNTA ELÁSTICA, FORNECIDO E INSTALADO EM CONDUTORES VERTICAIS DE ÁGUAS PLUVIAIS. AF_12/2014</v>
      </c>
      <c r="E498" s="82" t="str">
        <f>ORÇAMENTO!F281</f>
        <v>und.</v>
      </c>
      <c r="F498" s="354">
        <f>ORÇAMENTO!E281</f>
        <v>9</v>
      </c>
      <c r="G498" s="369"/>
      <c r="H498" s="369"/>
      <c r="I498" s="369"/>
      <c r="J498" s="370"/>
    </row>
    <row r="499" spans="1:10" ht="28.8" x14ac:dyDescent="0.3">
      <c r="A499" s="247" t="str">
        <f>ORÇAMENTO!A282</f>
        <v>7.137</v>
      </c>
      <c r="B499" s="73" t="str">
        <f>ORÇAMENTO!B282</f>
        <v>SINAPI</v>
      </c>
      <c r="C499" s="74">
        <f>ORÇAMENTO!C282</f>
        <v>89590</v>
      </c>
      <c r="D499" s="75" t="str">
        <f>ORÇAMENTO!D282</f>
        <v xml:space="preserve"> JOELHO 90 GRAUS, PVC, SERIE R, ÁGUA PLUVIAL, DN 150 MM, JUNTA ELÁSTICA, FORNECIDO E INSTALADO EM CONDUTORES VERTICAIS DE ÁGUAS PLUVIAIS. AF_12/2014</v>
      </c>
      <c r="E499" s="82" t="str">
        <f>ORÇAMENTO!F282</f>
        <v>und.</v>
      </c>
      <c r="F499" s="354">
        <f>ORÇAMENTO!E282</f>
        <v>14</v>
      </c>
      <c r="G499" s="369"/>
      <c r="H499" s="369"/>
      <c r="I499" s="369"/>
      <c r="J499" s="370"/>
    </row>
    <row r="500" spans="1:10" x14ac:dyDescent="0.3">
      <c r="A500" s="247" t="str">
        <f>ORÇAMENTO!A283</f>
        <v>7.138</v>
      </c>
      <c r="B500" s="73" t="str">
        <f>ORÇAMENTO!B283</f>
        <v>GOINFRA</v>
      </c>
      <c r="C500" s="74">
        <f>ORÇAMENTO!C283</f>
        <v>81960</v>
      </c>
      <c r="D500" s="75" t="str">
        <f>ORÇAMENTO!D283</f>
        <v>J U N C O E S</v>
      </c>
      <c r="E500" s="82"/>
      <c r="F500" s="354"/>
      <c r="G500" s="369"/>
      <c r="H500" s="369"/>
      <c r="I500" s="369"/>
      <c r="J500" s="370"/>
    </row>
    <row r="501" spans="1:10" x14ac:dyDescent="0.3">
      <c r="A501" s="247" t="str">
        <f>ORÇAMENTO!A284</f>
        <v>7.139</v>
      </c>
      <c r="B501" s="73" t="str">
        <f>ORÇAMENTO!B284</f>
        <v>GOINFRA</v>
      </c>
      <c r="C501" s="74">
        <f>ORÇAMENTO!C284</f>
        <v>81970</v>
      </c>
      <c r="D501" s="75" t="str">
        <f>ORÇAMENTO!D284</f>
        <v xml:space="preserve">JUNCAO SIMPLES DIAMETRO 50 X 50 MM </v>
      </c>
      <c r="E501" s="82" t="str">
        <f>ORÇAMENTO!F284</f>
        <v>und.</v>
      </c>
      <c r="F501" s="354">
        <f>ORÇAMENTO!E284</f>
        <v>12</v>
      </c>
      <c r="G501" s="369"/>
      <c r="H501" s="369"/>
      <c r="I501" s="369"/>
      <c r="J501" s="370"/>
    </row>
    <row r="502" spans="1:10" x14ac:dyDescent="0.3">
      <c r="A502" s="247" t="str">
        <f>ORÇAMENTO!A285</f>
        <v>7.140</v>
      </c>
      <c r="B502" s="73" t="str">
        <f>ORÇAMENTO!B285</f>
        <v>GOINFRA</v>
      </c>
      <c r="C502" s="74">
        <f>ORÇAMENTO!C285</f>
        <v>81971</v>
      </c>
      <c r="D502" s="75" t="str">
        <f>ORÇAMENTO!D285</f>
        <v xml:space="preserve">JUNCAO SIMPLES DIAM. 75 X 50 MM </v>
      </c>
      <c r="E502" s="82" t="str">
        <f>ORÇAMENTO!F285</f>
        <v>und.</v>
      </c>
      <c r="F502" s="354">
        <f>ORÇAMENTO!E285</f>
        <v>12</v>
      </c>
      <c r="G502" s="369"/>
      <c r="H502" s="369"/>
      <c r="I502" s="369"/>
      <c r="J502" s="370"/>
    </row>
    <row r="503" spans="1:10" x14ac:dyDescent="0.3">
      <c r="A503" s="247" t="str">
        <f>ORÇAMENTO!A286</f>
        <v>7.141</v>
      </c>
      <c r="B503" s="73" t="str">
        <f>ORÇAMENTO!B286</f>
        <v>GOINFRA</v>
      </c>
      <c r="C503" s="74">
        <f>ORÇAMENTO!C286</f>
        <v>81972</v>
      </c>
      <c r="D503" s="75" t="str">
        <f>ORÇAMENTO!D286</f>
        <v xml:space="preserve">JUNCAO SIMPLES DIAMETRO 75 X 75 MM </v>
      </c>
      <c r="E503" s="82" t="str">
        <f>ORÇAMENTO!F286</f>
        <v>und.</v>
      </c>
      <c r="F503" s="354">
        <f>ORÇAMENTO!E286</f>
        <v>4</v>
      </c>
      <c r="G503" s="369"/>
      <c r="H503" s="369"/>
      <c r="I503" s="369"/>
      <c r="J503" s="370"/>
    </row>
    <row r="504" spans="1:10" x14ac:dyDescent="0.3">
      <c r="A504" s="247" t="str">
        <f>ORÇAMENTO!A287</f>
        <v>7.142</v>
      </c>
      <c r="B504" s="73" t="str">
        <f>ORÇAMENTO!B287</f>
        <v>GOINFRA</v>
      </c>
      <c r="C504" s="74">
        <f>ORÇAMENTO!C287</f>
        <v>81973</v>
      </c>
      <c r="D504" s="75" t="str">
        <f>ORÇAMENTO!D287</f>
        <v xml:space="preserve">JUNCAO SIMPLES DIAM. 100 X 50 MM </v>
      </c>
      <c r="E504" s="82" t="str">
        <f>ORÇAMENTO!F287</f>
        <v>und.</v>
      </c>
      <c r="F504" s="354">
        <f>ORÇAMENTO!E287</f>
        <v>12</v>
      </c>
      <c r="G504" s="369"/>
      <c r="H504" s="369"/>
      <c r="I504" s="369"/>
      <c r="J504" s="370"/>
    </row>
    <row r="505" spans="1:10" x14ac:dyDescent="0.3">
      <c r="A505" s="247" t="str">
        <f>ORÇAMENTO!A288</f>
        <v>7.143</v>
      </c>
      <c r="B505" s="73" t="str">
        <f>ORÇAMENTO!B288</f>
        <v>GOINFRA</v>
      </c>
      <c r="C505" s="74">
        <f>ORÇAMENTO!C288</f>
        <v>81974</v>
      </c>
      <c r="D505" s="75" t="str">
        <f>ORÇAMENTO!D288</f>
        <v xml:space="preserve">JUNCAO SIMPLES DIAMETRO 100 X 75 MM </v>
      </c>
      <c r="E505" s="82" t="str">
        <f>ORÇAMENTO!F288</f>
        <v>und.</v>
      </c>
      <c r="F505" s="354">
        <f>ORÇAMENTO!E288</f>
        <v>8</v>
      </c>
      <c r="G505" s="369"/>
      <c r="H505" s="369"/>
      <c r="I505" s="369"/>
      <c r="J505" s="370"/>
    </row>
    <row r="506" spans="1:10" x14ac:dyDescent="0.3">
      <c r="A506" s="247" t="str">
        <f>ORÇAMENTO!A289</f>
        <v>7.144</v>
      </c>
      <c r="B506" s="73" t="str">
        <f>ORÇAMENTO!B289</f>
        <v>GOINFRA</v>
      </c>
      <c r="C506" s="74">
        <f>ORÇAMENTO!C289</f>
        <v>81975</v>
      </c>
      <c r="D506" s="75" t="str">
        <f>ORÇAMENTO!D289</f>
        <v xml:space="preserve">JUNCAO SIMPLES DIAM. 100 X 100 MM </v>
      </c>
      <c r="E506" s="82" t="str">
        <f>ORÇAMENTO!F289</f>
        <v>und.</v>
      </c>
      <c r="F506" s="354">
        <f>ORÇAMENTO!E289</f>
        <v>28</v>
      </c>
      <c r="G506" s="369"/>
      <c r="H506" s="369"/>
      <c r="I506" s="369"/>
      <c r="J506" s="370"/>
    </row>
    <row r="507" spans="1:10" x14ac:dyDescent="0.3">
      <c r="A507" s="247" t="str">
        <f>ORÇAMENTO!A290</f>
        <v>7.145</v>
      </c>
      <c r="B507" s="73" t="str">
        <f>ORÇAMENTO!B290</f>
        <v>GOINFRA</v>
      </c>
      <c r="C507" s="74">
        <f>ORÇAMENTO!C290</f>
        <v>82050</v>
      </c>
      <c r="D507" s="75" t="str">
        <f>ORÇAMENTO!D290</f>
        <v>P O R T A / G R E L H A</v>
      </c>
      <c r="E507" s="82"/>
      <c r="F507" s="354"/>
      <c r="G507" s="369"/>
      <c r="H507" s="369"/>
      <c r="I507" s="369"/>
      <c r="J507" s="370"/>
    </row>
    <row r="508" spans="1:10" x14ac:dyDescent="0.3">
      <c r="A508" s="247" t="str">
        <f>ORÇAMENTO!A291</f>
        <v>7.146</v>
      </c>
      <c r="B508" s="73" t="str">
        <f>ORÇAMENTO!B291</f>
        <v>GOINFRA</v>
      </c>
      <c r="C508" s="74">
        <f>ORÇAMENTO!C291</f>
        <v>82053</v>
      </c>
      <c r="D508" s="75" t="str">
        <f>ORÇAMENTO!D291</f>
        <v>PORTA GRELHA QUADRADO P/GREL.QUADRADA DIAM. 100 MM</v>
      </c>
      <c r="E508" s="82" t="str">
        <f>ORÇAMENTO!F291</f>
        <v>und.</v>
      </c>
      <c r="F508" s="354">
        <f>ORÇAMENTO!E291</f>
        <v>26</v>
      </c>
      <c r="G508" s="369"/>
      <c r="H508" s="369"/>
      <c r="I508" s="369"/>
      <c r="J508" s="370"/>
    </row>
    <row r="509" spans="1:10" x14ac:dyDescent="0.3">
      <c r="A509" s="247" t="str">
        <f>ORÇAMENTO!A292</f>
        <v>7.147</v>
      </c>
      <c r="B509" s="73" t="str">
        <f>ORÇAMENTO!B292</f>
        <v>GOINFRA</v>
      </c>
      <c r="C509" s="74">
        <f>ORÇAMENTO!C292</f>
        <v>82100</v>
      </c>
      <c r="D509" s="75" t="str">
        <f>ORÇAMENTO!D292</f>
        <v>R E D U C O E S</v>
      </c>
      <c r="E509" s="82"/>
      <c r="F509" s="354"/>
      <c r="G509" s="369"/>
      <c r="H509" s="369"/>
      <c r="I509" s="369"/>
      <c r="J509" s="370"/>
    </row>
    <row r="510" spans="1:10" x14ac:dyDescent="0.3">
      <c r="A510" s="247" t="str">
        <f>ORÇAMENTO!A293</f>
        <v>7.148</v>
      </c>
      <c r="B510" s="73" t="str">
        <f>ORÇAMENTO!B293</f>
        <v>GOINFRA</v>
      </c>
      <c r="C510" s="74">
        <f>ORÇAMENTO!C293</f>
        <v>82101</v>
      </c>
      <c r="D510" s="75" t="str">
        <f>ORÇAMENTO!D293</f>
        <v xml:space="preserve">REDUCAO EXCENTRICA 75 X 50 MM </v>
      </c>
      <c r="E510" s="82" t="str">
        <f>ORÇAMENTO!F293</f>
        <v>und.</v>
      </c>
      <c r="F510" s="354">
        <f>ORÇAMENTO!E293</f>
        <v>14</v>
      </c>
      <c r="G510" s="369"/>
      <c r="H510" s="369"/>
      <c r="I510" s="369"/>
      <c r="J510" s="370"/>
    </row>
    <row r="511" spans="1:10" x14ac:dyDescent="0.3">
      <c r="A511" s="247" t="str">
        <f>ORÇAMENTO!A294</f>
        <v>7.149</v>
      </c>
      <c r="B511" s="73" t="str">
        <f>ORÇAMENTO!B294</f>
        <v>GOINFRA</v>
      </c>
      <c r="C511" s="74">
        <f>ORÇAMENTO!C294</f>
        <v>82102</v>
      </c>
      <c r="D511" s="75" t="str">
        <f>ORÇAMENTO!D294</f>
        <v xml:space="preserve">REDUCAO EXCENTRICA 100 X 75 MM </v>
      </c>
      <c r="E511" s="82" t="str">
        <f>ORÇAMENTO!F294</f>
        <v>und.</v>
      </c>
      <c r="F511" s="354">
        <f>ORÇAMENTO!E294</f>
        <v>5</v>
      </c>
      <c r="G511" s="369"/>
      <c r="H511" s="369"/>
      <c r="I511" s="369"/>
      <c r="J511" s="370"/>
    </row>
    <row r="512" spans="1:10" x14ac:dyDescent="0.3">
      <c r="A512" s="247" t="str">
        <f>ORÇAMENTO!A295</f>
        <v>7.150</v>
      </c>
      <c r="B512" s="73" t="str">
        <f>ORÇAMENTO!B295</f>
        <v>GOINFRA</v>
      </c>
      <c r="C512" s="74">
        <f>ORÇAMENTO!C295</f>
        <v>82103</v>
      </c>
      <c r="D512" s="75" t="str">
        <f>ORÇAMENTO!D295</f>
        <v xml:space="preserve">REDUCAO EXCENTRICA 100 X 50 MM </v>
      </c>
      <c r="E512" s="82" t="str">
        <f>ORÇAMENTO!F295</f>
        <v>und.</v>
      </c>
      <c r="F512" s="354">
        <f>ORÇAMENTO!E295</f>
        <v>2</v>
      </c>
      <c r="G512" s="369"/>
      <c r="H512" s="369"/>
      <c r="I512" s="369"/>
      <c r="J512" s="370"/>
    </row>
    <row r="513" spans="1:10" x14ac:dyDescent="0.3">
      <c r="A513" s="247" t="str">
        <f>ORÇAMENTO!A296</f>
        <v>7.151</v>
      </c>
      <c r="B513" s="73" t="str">
        <f>ORÇAMENTO!B296</f>
        <v>GOINFRA</v>
      </c>
      <c r="C513" s="74">
        <f>ORÇAMENTO!C296</f>
        <v>82200</v>
      </c>
      <c r="D513" s="75" t="str">
        <f>ORÇAMENTO!D296</f>
        <v>T E</v>
      </c>
      <c r="E513" s="82"/>
      <c r="F513" s="354"/>
      <c r="G513" s="369"/>
      <c r="H513" s="369"/>
      <c r="I513" s="369"/>
      <c r="J513" s="370"/>
    </row>
    <row r="514" spans="1:10" x14ac:dyDescent="0.3">
      <c r="A514" s="247" t="str">
        <f>ORÇAMENTO!A297</f>
        <v>7.152</v>
      </c>
      <c r="B514" s="73" t="str">
        <f>ORÇAMENTO!B297</f>
        <v>GOINFRA</v>
      </c>
      <c r="C514" s="74">
        <f>ORÇAMENTO!C297</f>
        <v>82201</v>
      </c>
      <c r="D514" s="75" t="str">
        <f>ORÇAMENTO!D297</f>
        <v xml:space="preserve">TE 90 GRAUS DIAMETRO 40 MM - ESGOTO </v>
      </c>
      <c r="E514" s="82" t="str">
        <f>ORÇAMENTO!F297</f>
        <v>und.</v>
      </c>
      <c r="F514" s="354">
        <f>ORÇAMENTO!E297</f>
        <v>1</v>
      </c>
      <c r="G514" s="369"/>
      <c r="H514" s="369"/>
      <c r="I514" s="369"/>
      <c r="J514" s="370"/>
    </row>
    <row r="515" spans="1:10" x14ac:dyDescent="0.3">
      <c r="A515" s="247" t="str">
        <f>ORÇAMENTO!A298</f>
        <v>7.153</v>
      </c>
      <c r="B515" s="73" t="str">
        <f>ORÇAMENTO!B298</f>
        <v>GOINFRA</v>
      </c>
      <c r="C515" s="74">
        <f>ORÇAMENTO!C298</f>
        <v>82230</v>
      </c>
      <c r="D515" s="75" t="str">
        <f>ORÇAMENTO!D298</f>
        <v xml:space="preserve">TE SANITARIO DIAMETRO 50 X 50 MM </v>
      </c>
      <c r="E515" s="82" t="str">
        <f>ORÇAMENTO!F298</f>
        <v>und.</v>
      </c>
      <c r="F515" s="354">
        <f>ORÇAMENTO!E298</f>
        <v>16</v>
      </c>
      <c r="G515" s="369"/>
      <c r="H515" s="369"/>
      <c r="I515" s="369"/>
      <c r="J515" s="370"/>
    </row>
    <row r="516" spans="1:10" x14ac:dyDescent="0.3">
      <c r="A516" s="247" t="str">
        <f>ORÇAMENTO!A299</f>
        <v>7.154</v>
      </c>
      <c r="B516" s="73" t="str">
        <f>ORÇAMENTO!B299</f>
        <v>GOINFRA</v>
      </c>
      <c r="C516" s="74">
        <f>ORÇAMENTO!C299</f>
        <v>82232</v>
      </c>
      <c r="D516" s="75" t="str">
        <f>ORÇAMENTO!D299</f>
        <v xml:space="preserve">TE SANITARIO DIAMETRO 75 X 75 MM </v>
      </c>
      <c r="E516" s="82" t="str">
        <f>ORÇAMENTO!F299</f>
        <v>und.</v>
      </c>
      <c r="F516" s="354">
        <f>ORÇAMENTO!E299</f>
        <v>11</v>
      </c>
      <c r="G516" s="369"/>
      <c r="H516" s="369"/>
      <c r="I516" s="369"/>
      <c r="J516" s="370"/>
    </row>
    <row r="517" spans="1:10" x14ac:dyDescent="0.3">
      <c r="A517" s="247" t="str">
        <f>ORÇAMENTO!A300</f>
        <v>7.155</v>
      </c>
      <c r="B517" s="73" t="str">
        <f>ORÇAMENTO!B300</f>
        <v>GOINFRA</v>
      </c>
      <c r="C517" s="74">
        <f>ORÇAMENTO!C300</f>
        <v>82300</v>
      </c>
      <c r="D517" s="75" t="str">
        <f>ORÇAMENTO!D300</f>
        <v>T U B O S</v>
      </c>
      <c r="E517" s="82"/>
      <c r="F517" s="354"/>
      <c r="G517" s="369"/>
      <c r="H517" s="369"/>
      <c r="I517" s="369"/>
      <c r="J517" s="370"/>
    </row>
    <row r="518" spans="1:10" x14ac:dyDescent="0.3">
      <c r="A518" s="247" t="str">
        <f>ORÇAMENTO!A301</f>
        <v>7.156</v>
      </c>
      <c r="B518" s="73" t="str">
        <f>ORÇAMENTO!B301</f>
        <v>GOINFRA</v>
      </c>
      <c r="C518" s="74">
        <f>ORÇAMENTO!C301</f>
        <v>82301</v>
      </c>
      <c r="D518" s="75" t="str">
        <f>ORÇAMENTO!D301</f>
        <v xml:space="preserve">TUBO SOLD.P/ESGOTO DIAM. 40 MM </v>
      </c>
      <c r="E518" s="82" t="str">
        <f>ORÇAMENTO!F301</f>
        <v xml:space="preserve">m </v>
      </c>
      <c r="F518" s="354">
        <f>ORÇAMENTO!E301</f>
        <v>65.290000000000006</v>
      </c>
      <c r="G518" s="369"/>
      <c r="H518" s="369"/>
      <c r="I518" s="369"/>
      <c r="J518" s="370"/>
    </row>
    <row r="519" spans="1:10" x14ac:dyDescent="0.3">
      <c r="A519" s="247" t="str">
        <f>ORÇAMENTO!A302</f>
        <v>7.157</v>
      </c>
      <c r="B519" s="73" t="str">
        <f>ORÇAMENTO!B302</f>
        <v>GOINFRA</v>
      </c>
      <c r="C519" s="74">
        <f>ORÇAMENTO!C302</f>
        <v>82302</v>
      </c>
      <c r="D519" s="75" t="str">
        <f>ORÇAMENTO!D302</f>
        <v xml:space="preserve"> TUBO SOLD. P/ESGOTO DIAM. 50 MM </v>
      </c>
      <c r="E519" s="82" t="str">
        <f>ORÇAMENTO!F302</f>
        <v>m</v>
      </c>
      <c r="F519" s="354">
        <f>ORÇAMENTO!E302</f>
        <v>117.19999999999999</v>
      </c>
      <c r="G519" s="369"/>
      <c r="H519" s="369"/>
      <c r="I519" s="369"/>
      <c r="J519" s="370"/>
    </row>
    <row r="520" spans="1:10" x14ac:dyDescent="0.3">
      <c r="A520" s="247" t="str">
        <f>ORÇAMENTO!A303</f>
        <v>7.158</v>
      </c>
      <c r="B520" s="73" t="str">
        <f>ORÇAMENTO!B303</f>
        <v>GOINFRA</v>
      </c>
      <c r="C520" s="74">
        <f>ORÇAMENTO!C303</f>
        <v>82303</v>
      </c>
      <c r="D520" s="75" t="str">
        <f>ORÇAMENTO!D303</f>
        <v xml:space="preserve">TUBO SOLDAVEL P/ESGOTO DIAM.75 MM </v>
      </c>
      <c r="E520" s="82" t="str">
        <f>ORÇAMENTO!F303</f>
        <v>m</v>
      </c>
      <c r="F520" s="354">
        <f>ORÇAMENTO!E303</f>
        <v>84.66</v>
      </c>
      <c r="G520" s="369"/>
      <c r="H520" s="369"/>
      <c r="I520" s="369"/>
      <c r="J520" s="370"/>
    </row>
    <row r="521" spans="1:10" x14ac:dyDescent="0.3">
      <c r="A521" s="247" t="str">
        <f>ORÇAMENTO!A304</f>
        <v>7.159</v>
      </c>
      <c r="B521" s="73" t="str">
        <f>ORÇAMENTO!B304</f>
        <v>GOINFRA</v>
      </c>
      <c r="C521" s="74">
        <f>ORÇAMENTO!C304</f>
        <v>82304</v>
      </c>
      <c r="D521" s="75" t="str">
        <f>ORÇAMENTO!D304</f>
        <v xml:space="preserve">TUBO SOLDAVEL P/ESGOTO DIAM. 100 MM </v>
      </c>
      <c r="E521" s="82" t="str">
        <f>ORÇAMENTO!F304</f>
        <v>m</v>
      </c>
      <c r="F521" s="354">
        <f>ORÇAMENTO!E304</f>
        <v>461.62</v>
      </c>
      <c r="G521" s="369"/>
      <c r="H521" s="369"/>
      <c r="I521" s="369"/>
      <c r="J521" s="370"/>
    </row>
    <row r="522" spans="1:10" x14ac:dyDescent="0.3">
      <c r="A522" s="247" t="str">
        <f>ORÇAMENTO!A305</f>
        <v>7.160</v>
      </c>
      <c r="B522" s="73" t="str">
        <f>ORÇAMENTO!B305</f>
        <v>GOINFRA</v>
      </c>
      <c r="C522" s="74">
        <f>ORÇAMENTO!C305</f>
        <v>82331</v>
      </c>
      <c r="D522" s="75" t="str">
        <f>ORÇAMENTO!D305</f>
        <v xml:space="preserve">TUBO LEVE PVC RIGIDO DIAMETRO 150 MM </v>
      </c>
      <c r="E522" s="82" t="str">
        <f>ORÇAMENTO!F305</f>
        <v>m</v>
      </c>
      <c r="F522" s="354">
        <f>ORÇAMENTO!E305</f>
        <v>656.2</v>
      </c>
      <c r="G522" s="369"/>
      <c r="H522" s="369"/>
      <c r="I522" s="369"/>
      <c r="J522" s="370"/>
    </row>
    <row r="523" spans="1:10" x14ac:dyDescent="0.3">
      <c r="A523" s="247" t="str">
        <f>ORÇAMENTO!A306</f>
        <v>7.161</v>
      </c>
      <c r="B523" s="420" t="str">
        <f>ORÇAMENTO!B306</f>
        <v>Cotação</v>
      </c>
      <c r="C523" s="421"/>
      <c r="D523" s="75" t="str">
        <f>ORÇAMENTO!D306</f>
        <v>DISPOSITIVO DE AERAÇÃO</v>
      </c>
      <c r="E523" s="82" t="str">
        <f>ORÇAMENTO!F306</f>
        <v>und.</v>
      </c>
      <c r="F523" s="354">
        <f>ORÇAMENTO!E306</f>
        <v>9</v>
      </c>
      <c r="G523" s="369"/>
      <c r="H523" s="369"/>
      <c r="I523" s="369"/>
      <c r="J523" s="370"/>
    </row>
    <row r="524" spans="1:10" x14ac:dyDescent="0.3">
      <c r="A524" s="247" t="str">
        <f>ORÇAMENTO!A307</f>
        <v>7.162</v>
      </c>
      <c r="B524" s="420" t="str">
        <f>ORÇAMENTO!B307</f>
        <v>Cotação</v>
      </c>
      <c r="C524" s="421"/>
      <c r="D524" s="75" t="str">
        <f>ORÇAMENTO!D307</f>
        <v>DISPOSITIVO DE RETORNO</v>
      </c>
      <c r="E524" s="82" t="str">
        <f>ORÇAMENTO!F307</f>
        <v>und.</v>
      </c>
      <c r="F524" s="354">
        <f>ORÇAMENTO!E307</f>
        <v>8</v>
      </c>
      <c r="G524" s="369"/>
      <c r="H524" s="369"/>
      <c r="I524" s="369"/>
      <c r="J524" s="370"/>
    </row>
    <row r="525" spans="1:10" x14ac:dyDescent="0.3">
      <c r="A525" s="247" t="str">
        <f>ORÇAMENTO!A308</f>
        <v>7.163</v>
      </c>
      <c r="B525" s="420" t="str">
        <f>ORÇAMENTO!B308</f>
        <v>Cotação</v>
      </c>
      <c r="C525" s="421"/>
      <c r="D525" s="75" t="str">
        <f>ORÇAMENTO!D308</f>
        <v>FILTRO DE LIMPEZA</v>
      </c>
      <c r="E525" s="82" t="str">
        <f>ORÇAMENTO!F308</f>
        <v>und.</v>
      </c>
      <c r="F525" s="354">
        <f>ORÇAMENTO!E308</f>
        <v>1</v>
      </c>
      <c r="G525" s="369"/>
      <c r="H525" s="369"/>
      <c r="I525" s="369"/>
      <c r="J525" s="370"/>
    </row>
    <row r="526" spans="1:10" ht="28.8" x14ac:dyDescent="0.3">
      <c r="A526" s="247" t="str">
        <f>ORÇAMENTO!A309</f>
        <v>7.164</v>
      </c>
      <c r="B526" s="73" t="str">
        <f>ORÇAMENTO!B309</f>
        <v>SEINFRA - CE</v>
      </c>
      <c r="C526" s="74" t="str">
        <f>ORÇAMENTO!C309</f>
        <v>C3671</v>
      </c>
      <c r="D526" s="75" t="str">
        <f>ORÇAMENTO!D309</f>
        <v>CONE PARA EXPURGO EM AÇO INOX COM TAMPA E GRELHA - L=500MM X C=500MM, ALTURA ATÉ 300MM E SAÍDA D=100MM</v>
      </c>
      <c r="E526" s="82" t="str">
        <f>ORÇAMENTO!F309</f>
        <v>und.</v>
      </c>
      <c r="F526" s="354">
        <f>ORÇAMENTO!E309</f>
        <v>1</v>
      </c>
      <c r="G526" s="369"/>
      <c r="H526" s="369"/>
      <c r="I526" s="369"/>
      <c r="J526" s="370"/>
    </row>
    <row r="527" spans="1:10" x14ac:dyDescent="0.3">
      <c r="A527" s="247" t="str">
        <f>ORÇAMENTO!A310</f>
        <v>7.165</v>
      </c>
      <c r="B527" s="420" t="str">
        <f>ORÇAMENTO!B310</f>
        <v xml:space="preserve"> Composição 1 </v>
      </c>
      <c r="C527" s="421"/>
      <c r="D527" s="75" t="str">
        <f>ORÇAMENTO!D310</f>
        <v>FOSSA SEPTICA 12600 LITROS COM IMPERMEABILIZAÇÃO</v>
      </c>
      <c r="E527" s="82" t="str">
        <f>ORÇAMENTO!F310</f>
        <v>und.</v>
      </c>
      <c r="F527" s="354">
        <f>ORÇAMENTO!E310</f>
        <v>1</v>
      </c>
      <c r="G527" s="369"/>
      <c r="H527" s="369"/>
      <c r="I527" s="369"/>
      <c r="J527" s="370"/>
    </row>
    <row r="528" spans="1:10" x14ac:dyDescent="0.3">
      <c r="A528" s="247" t="str">
        <f>ORÇAMENTO!A311</f>
        <v>7.166</v>
      </c>
      <c r="B528" s="420" t="str">
        <f>ORÇAMENTO!B311</f>
        <v xml:space="preserve"> Composição 2 </v>
      </c>
      <c r="C528" s="421"/>
      <c r="D528" s="75" t="str">
        <f>ORÇAMENTO!D311</f>
        <v>FOSSA SEPTICA 9792 LITROS COM IMPERMEABILIZAÇÃO</v>
      </c>
      <c r="E528" s="82" t="str">
        <f>ORÇAMENTO!F311</f>
        <v>und.</v>
      </c>
      <c r="F528" s="354">
        <f>ORÇAMENTO!E311</f>
        <v>2</v>
      </c>
      <c r="G528" s="369"/>
      <c r="H528" s="369"/>
      <c r="I528" s="369"/>
      <c r="J528" s="370"/>
    </row>
    <row r="529" spans="1:10" x14ac:dyDescent="0.3">
      <c r="A529" s="247" t="str">
        <f>ORÇAMENTO!A312</f>
        <v>7.167</v>
      </c>
      <c r="B529" s="420" t="str">
        <f>ORÇAMENTO!B312</f>
        <v xml:space="preserve"> Composição 3</v>
      </c>
      <c r="C529" s="421"/>
      <c r="D529" s="75" t="str">
        <f>ORÇAMENTO!D312</f>
        <v>SUMIDOURO COM DIÂMETRO=1,80 M E PROFUNDIDADE=2,55 M</v>
      </c>
      <c r="E529" s="82" t="str">
        <f>ORÇAMENTO!F312</f>
        <v>und.</v>
      </c>
      <c r="F529" s="354">
        <f>ORÇAMENTO!E312</f>
        <v>3</v>
      </c>
      <c r="G529" s="369"/>
      <c r="H529" s="369"/>
      <c r="I529" s="369"/>
      <c r="J529" s="370"/>
    </row>
    <row r="530" spans="1:10" x14ac:dyDescent="0.3">
      <c r="A530" s="247" t="str">
        <f>ORÇAMENTO!A313</f>
        <v>7.168</v>
      </c>
      <c r="B530" s="420" t="str">
        <f>ORÇAMENTO!B313</f>
        <v xml:space="preserve"> Composição 4</v>
      </c>
      <c r="C530" s="421"/>
      <c r="D530" s="75" t="str">
        <f>ORÇAMENTO!D313</f>
        <v>SUMIDOURO COM DIÂMETRO=1,80 M E PROFUNDIDADE=2,75 M</v>
      </c>
      <c r="E530" s="82" t="str">
        <f>ORÇAMENTO!F313</f>
        <v>und.</v>
      </c>
      <c r="F530" s="354">
        <f>ORÇAMENTO!E313</f>
        <v>2</v>
      </c>
      <c r="G530" s="369"/>
      <c r="H530" s="369"/>
      <c r="I530" s="369"/>
      <c r="J530" s="370"/>
    </row>
    <row r="531" spans="1:10" x14ac:dyDescent="0.3">
      <c r="A531" s="247" t="str">
        <f>ORÇAMENTO!A314</f>
        <v>7.169</v>
      </c>
      <c r="B531" s="420" t="str">
        <f>ORÇAMENTO!B314</f>
        <v xml:space="preserve"> Composição 5</v>
      </c>
      <c r="C531" s="421"/>
      <c r="D531" s="75" t="str">
        <f>ORÇAMENTO!D314</f>
        <v>SUMIDOURO COM DIÂMETRO=1,90 M E PROFUNDIDADE=2,85 M</v>
      </c>
      <c r="E531" s="82" t="str">
        <f>ORÇAMENTO!F314</f>
        <v>und.</v>
      </c>
      <c r="F531" s="354">
        <f>ORÇAMENTO!E314</f>
        <v>2</v>
      </c>
      <c r="G531" s="369"/>
      <c r="H531" s="369"/>
      <c r="I531" s="369"/>
      <c r="J531" s="370"/>
    </row>
    <row r="532" spans="1:10" x14ac:dyDescent="0.3">
      <c r="A532" s="247" t="str">
        <f>ORÇAMENTO!A315</f>
        <v>7.170</v>
      </c>
      <c r="B532" s="73" t="str">
        <f>ORÇAMENTO!B315</f>
        <v>GOINFRA</v>
      </c>
      <c r="C532" s="74">
        <f>ORÇAMENTO!C315</f>
        <v>85056</v>
      </c>
      <c r="D532" s="75" t="str">
        <f>ORÇAMENTO!D315</f>
        <v>TÊ DE FERRO GALVANIZADO 90º X 2 1/2"</v>
      </c>
      <c r="E532" s="82" t="str">
        <f>ORÇAMENTO!F315</f>
        <v>und.</v>
      </c>
      <c r="F532" s="354">
        <f>ORÇAMENTO!E315</f>
        <v>3</v>
      </c>
      <c r="G532" s="369"/>
      <c r="H532" s="369"/>
      <c r="I532" s="369"/>
      <c r="J532" s="370"/>
    </row>
    <row r="533" spans="1:10" x14ac:dyDescent="0.3">
      <c r="A533" s="247" t="str">
        <f>ORÇAMENTO!A316</f>
        <v>7.171</v>
      </c>
      <c r="B533" s="73" t="str">
        <f>ORÇAMENTO!B316</f>
        <v>GOINFRA</v>
      </c>
      <c r="C533" s="74">
        <f>ORÇAMENTO!C316</f>
        <v>85027</v>
      </c>
      <c r="D533" s="75" t="str">
        <f>ORÇAMENTO!D316</f>
        <v>ADAPTADOR P/ENGATE STORZ 2.1/2" X 1.1/2"</v>
      </c>
      <c r="E533" s="82" t="str">
        <f>ORÇAMENTO!F316</f>
        <v>und.</v>
      </c>
      <c r="F533" s="354">
        <f>ORÇAMENTO!E316</f>
        <v>1</v>
      </c>
      <c r="G533" s="369"/>
      <c r="H533" s="369"/>
      <c r="I533" s="369"/>
      <c r="J533" s="370"/>
    </row>
    <row r="534" spans="1:10" ht="28.8" x14ac:dyDescent="0.3">
      <c r="A534" s="247" t="str">
        <f>ORÇAMENTO!A317</f>
        <v>7.172</v>
      </c>
      <c r="B534" s="73" t="str">
        <f>ORÇAMENTO!B317</f>
        <v>GOINFRA</v>
      </c>
      <c r="C534" s="74">
        <f>ORÇAMENTO!C317</f>
        <v>85011</v>
      </c>
      <c r="D534" s="75" t="str">
        <f>ORÇAMENTO!D317</f>
        <v>CAIXA DE INCÊNDIO METÁLICA COM SUPORTE PARA MANGUEIRA, TAMPA E MURETA 17X60X90 CM C/PINTURA</v>
      </c>
      <c r="E534" s="82" t="str">
        <f>ORÇAMENTO!F317</f>
        <v>und.</v>
      </c>
      <c r="F534" s="354">
        <f>ORÇAMENTO!E317</f>
        <v>4</v>
      </c>
      <c r="G534" s="369"/>
      <c r="H534" s="369"/>
      <c r="I534" s="369"/>
      <c r="J534" s="370"/>
    </row>
    <row r="535" spans="1:10" x14ac:dyDescent="0.3">
      <c r="A535" s="247" t="str">
        <f>ORÇAMENTO!A318</f>
        <v>7.173</v>
      </c>
      <c r="B535" s="420" t="str">
        <f>ORÇAMENTO!B318</f>
        <v>Cotação</v>
      </c>
      <c r="C535" s="421"/>
      <c r="D535" s="75" t="str">
        <f>ORÇAMENTO!D318</f>
        <v>CHAVE PARA CONEXÃO DE MANGOTE TIPO ROSCA - PINO DUPLA - 1.1/2" X 2.1/2"</v>
      </c>
      <c r="E535" s="82" t="str">
        <f>ORÇAMENTO!F318</f>
        <v>und.</v>
      </c>
      <c r="F535" s="354">
        <f>ORÇAMENTO!E318</f>
        <v>4</v>
      </c>
      <c r="G535" s="369"/>
      <c r="H535" s="369"/>
      <c r="I535" s="369"/>
      <c r="J535" s="370"/>
    </row>
    <row r="536" spans="1:10" x14ac:dyDescent="0.3">
      <c r="A536" s="247" t="str">
        <f>ORÇAMENTO!A319</f>
        <v>7.174</v>
      </c>
      <c r="B536" s="73" t="str">
        <f>ORÇAMENTO!B319</f>
        <v>GOINFRA</v>
      </c>
      <c r="C536" s="74">
        <f>ORÇAMENTO!C319</f>
        <v>85025</v>
      </c>
      <c r="D536" s="75" t="str">
        <f>ORÇAMENTO!D319</f>
        <v>ESGUICHO REGULÁVEL 1.1/2"</v>
      </c>
      <c r="E536" s="82" t="str">
        <f>ORÇAMENTO!F319</f>
        <v>und.</v>
      </c>
      <c r="F536" s="354">
        <f>ORÇAMENTO!E319</f>
        <v>4</v>
      </c>
      <c r="G536" s="369"/>
      <c r="H536" s="369"/>
      <c r="I536" s="369"/>
      <c r="J536" s="370"/>
    </row>
    <row r="537" spans="1:10" x14ac:dyDescent="0.3">
      <c r="A537" s="247" t="str">
        <f>ORÇAMENTO!A320</f>
        <v>7.175</v>
      </c>
      <c r="B537" s="73" t="str">
        <f>ORÇAMENTO!B320</f>
        <v>GOINFRA</v>
      </c>
      <c r="C537" s="74">
        <f>ORÇAMENTO!C320</f>
        <v>85023</v>
      </c>
      <c r="D537" s="75" t="str">
        <f>ORÇAMENTO!D320</f>
        <v>MANGUEIRA DE INCENDIO DI=38 mm TIPO 2 COMP. 30 M</v>
      </c>
      <c r="E537" s="82" t="str">
        <f>ORÇAMENTO!F320</f>
        <v>und.</v>
      </c>
      <c r="F537" s="354">
        <f>ORÇAMENTO!E320</f>
        <v>4</v>
      </c>
      <c r="G537" s="369"/>
      <c r="H537" s="369"/>
      <c r="I537" s="369"/>
      <c r="J537" s="370"/>
    </row>
    <row r="538" spans="1:10" x14ac:dyDescent="0.3">
      <c r="A538" s="247" t="str">
        <f>ORÇAMENTO!A321</f>
        <v>7.176</v>
      </c>
      <c r="B538" s="73" t="str">
        <f>ORÇAMENTO!B321</f>
        <v>GOINFRA</v>
      </c>
      <c r="C538" s="74">
        <f>ORÇAMENTO!C321</f>
        <v>85047</v>
      </c>
      <c r="D538" s="75" t="str">
        <f>ORÇAMENTO!D321</f>
        <v>NIPLE DUPLO FERRO GALVANIZADO 2.1/2"</v>
      </c>
      <c r="E538" s="82" t="str">
        <f>ORÇAMENTO!F321</f>
        <v>und.</v>
      </c>
      <c r="F538" s="354">
        <f>ORÇAMENTO!E321</f>
        <v>4</v>
      </c>
      <c r="G538" s="369"/>
      <c r="H538" s="369"/>
      <c r="I538" s="369"/>
      <c r="J538" s="370"/>
    </row>
    <row r="539" spans="1:10" x14ac:dyDescent="0.3">
      <c r="A539" s="247" t="str">
        <f>ORÇAMENTO!A322</f>
        <v>7.177</v>
      </c>
      <c r="B539" s="420" t="str">
        <f>ORÇAMENTO!B322</f>
        <v>Cotação</v>
      </c>
      <c r="C539" s="421"/>
      <c r="D539" s="75" t="str">
        <f>ORÇAMENTO!D322</f>
        <v xml:space="preserve">REDUÇÃO GIRATÓRIA TIPO STORZ - BRONZE OU LATÃO </v>
      </c>
      <c r="E539" s="82" t="str">
        <f>ORÇAMENTO!F322</f>
        <v>und.</v>
      </c>
      <c r="F539" s="354">
        <f>ORÇAMENTO!E322</f>
        <v>4</v>
      </c>
      <c r="G539" s="369"/>
      <c r="H539" s="369"/>
      <c r="I539" s="369"/>
      <c r="J539" s="370"/>
    </row>
    <row r="540" spans="1:10" x14ac:dyDescent="0.3">
      <c r="A540" s="247" t="str">
        <f>ORÇAMENTO!A323</f>
        <v>7.178</v>
      </c>
      <c r="B540" s="73" t="str">
        <f>ORÇAMENTO!B323</f>
        <v>GOINFRA</v>
      </c>
      <c r="C540" s="74">
        <f>ORÇAMENTO!C323</f>
        <v>85031</v>
      </c>
      <c r="D540" s="75" t="str">
        <f>ORÇAMENTO!D323</f>
        <v>REGISTRO GLOBO ANGULAR 2.1/2"</v>
      </c>
      <c r="E540" s="82" t="str">
        <f>ORÇAMENTO!F323</f>
        <v>und.</v>
      </c>
      <c r="F540" s="354">
        <f>ORÇAMENTO!E323</f>
        <v>4</v>
      </c>
      <c r="G540" s="369"/>
      <c r="H540" s="369"/>
      <c r="I540" s="369"/>
      <c r="J540" s="370"/>
    </row>
    <row r="541" spans="1:10" x14ac:dyDescent="0.3">
      <c r="A541" s="247" t="str">
        <f>ORÇAMENTO!A324</f>
        <v>7.179</v>
      </c>
      <c r="B541" s="73" t="str">
        <f>ORÇAMENTO!B324</f>
        <v>GOINFRA</v>
      </c>
      <c r="C541" s="74">
        <f>ORÇAMENTO!C324</f>
        <v>80910</v>
      </c>
      <c r="D541" s="75" t="str">
        <f>ORÇAMENTO!D324</f>
        <v>REGISTRO DE GAVETA BRUTO DIAMETRO 2.1/2"</v>
      </c>
      <c r="E541" s="82" t="str">
        <f>ORÇAMENTO!F324</f>
        <v>und.</v>
      </c>
      <c r="F541" s="354">
        <f>ORÇAMENTO!E324</f>
        <v>1</v>
      </c>
      <c r="G541" s="369"/>
      <c r="H541" s="369"/>
      <c r="I541" s="369"/>
      <c r="J541" s="370"/>
    </row>
    <row r="542" spans="1:10" x14ac:dyDescent="0.3">
      <c r="A542" s="247" t="str">
        <f>ORÇAMENTO!A325</f>
        <v>7.180</v>
      </c>
      <c r="B542" s="73" t="str">
        <f>ORÇAMENTO!B325</f>
        <v>GOINFRA</v>
      </c>
      <c r="C542" s="74">
        <f>ORÇAMENTO!C325</f>
        <v>85035</v>
      </c>
      <c r="D542" s="75" t="str">
        <f>ORÇAMENTO!D325</f>
        <v>TAMPÃO CEGO COM CORRENTE 2.1/2"</v>
      </c>
      <c r="E542" s="82" t="str">
        <f>ORÇAMENTO!F325</f>
        <v>und.</v>
      </c>
      <c r="F542" s="354">
        <f>ORÇAMENTO!E325</f>
        <v>4</v>
      </c>
      <c r="G542" s="369"/>
      <c r="H542" s="369"/>
      <c r="I542" s="369"/>
      <c r="J542" s="370"/>
    </row>
    <row r="543" spans="1:10" x14ac:dyDescent="0.3">
      <c r="A543" s="247" t="str">
        <f>ORÇAMENTO!A326</f>
        <v>7.181</v>
      </c>
      <c r="B543" s="73" t="str">
        <f>ORÇAMENTO!B326</f>
        <v>GOINFRA</v>
      </c>
      <c r="C543" s="74">
        <f>ORÇAMENTO!C326</f>
        <v>85079</v>
      </c>
      <c r="D543" s="75" t="str">
        <f>ORÇAMENTO!D326</f>
        <v>VÁLVULA DE RETENÇÃO VERTICAL 2.1/2"</v>
      </c>
      <c r="E543" s="82" t="str">
        <f>ORÇAMENTO!F326</f>
        <v>und.</v>
      </c>
      <c r="F543" s="354">
        <f>ORÇAMENTO!E326</f>
        <v>2</v>
      </c>
      <c r="G543" s="369"/>
      <c r="H543" s="369"/>
      <c r="I543" s="369"/>
      <c r="J543" s="370"/>
    </row>
    <row r="544" spans="1:10" x14ac:dyDescent="0.3">
      <c r="A544" s="247" t="str">
        <f>ORÇAMENTO!A327</f>
        <v>7.182</v>
      </c>
      <c r="B544" s="73" t="str">
        <f>ORÇAMENTO!B327</f>
        <v>GOINFRA</v>
      </c>
      <c r="C544" s="74">
        <f>ORÇAMENTO!C327</f>
        <v>81466</v>
      </c>
      <c r="D544" s="75" t="str">
        <f>ORÇAMENTO!D327</f>
        <v>UNIAO SOLDAVEL DIAMETRO 60 mm</v>
      </c>
      <c r="E544" s="82" t="str">
        <f>ORÇAMENTO!F327</f>
        <v>und.</v>
      </c>
      <c r="F544" s="354">
        <f>ORÇAMENTO!E327</f>
        <v>4</v>
      </c>
      <c r="G544" s="369"/>
      <c r="H544" s="369"/>
      <c r="I544" s="369"/>
      <c r="J544" s="370"/>
    </row>
    <row r="545" spans="1:10" x14ac:dyDescent="0.3">
      <c r="A545" s="247" t="str">
        <f>ORÇAMENTO!A328</f>
        <v>7.183</v>
      </c>
      <c r="B545" s="73" t="str">
        <f>ORÇAMENTO!B328</f>
        <v>GOINFRA</v>
      </c>
      <c r="C545" s="74">
        <f>ORÇAMENTO!C328</f>
        <v>82378</v>
      </c>
      <c r="D545" s="75" t="str">
        <f>ORÇAMENTO!D328</f>
        <v>TUBO FERRO GALVANIZADO DIAM.2"</v>
      </c>
      <c r="E545" s="82" t="str">
        <f>ORÇAMENTO!F328</f>
        <v>m</v>
      </c>
      <c r="F545" s="354">
        <f>ORÇAMENTO!E328</f>
        <v>90.5</v>
      </c>
      <c r="G545" s="369"/>
      <c r="H545" s="369"/>
      <c r="I545" s="369"/>
      <c r="J545" s="370"/>
    </row>
    <row r="546" spans="1:10" x14ac:dyDescent="0.3">
      <c r="A546" s="247" t="str">
        <f>ORÇAMENTO!A329</f>
        <v>7.184</v>
      </c>
      <c r="B546" s="73" t="str">
        <f>ORÇAMENTO!B329</f>
        <v>GOINFRA</v>
      </c>
      <c r="C546" s="74">
        <f>ORÇAMENTO!C329</f>
        <v>85006</v>
      </c>
      <c r="D546" s="75" t="str">
        <f>ORÇAMENTO!D329</f>
        <v>EXTINTOR MULTI USO EM PO A B C (6 KG) - CAPACIDADE EXTINTORA 3A 20BC</v>
      </c>
      <c r="E546" s="82" t="str">
        <f>ORÇAMENTO!F329</f>
        <v>und.</v>
      </c>
      <c r="F546" s="354">
        <f>ORÇAMENTO!E329</f>
        <v>6</v>
      </c>
      <c r="G546" s="369"/>
      <c r="H546" s="369"/>
      <c r="I546" s="369"/>
      <c r="J546" s="370"/>
    </row>
    <row r="547" spans="1:10" x14ac:dyDescent="0.3">
      <c r="A547" s="247" t="str">
        <f>ORÇAMENTO!A330</f>
        <v>7.185</v>
      </c>
      <c r="B547" s="73" t="str">
        <f>ORÇAMENTO!B330</f>
        <v>GOINFRA</v>
      </c>
      <c r="C547" s="74">
        <f>ORÇAMENTO!C330</f>
        <v>85003</v>
      </c>
      <c r="D547" s="75" t="str">
        <f>ORÇAMENTO!D330</f>
        <v>EXTINTOR PO QUIMICO SECO (6 KG) - CAPACIDADE EXTINTORA 20 BC</v>
      </c>
      <c r="E547" s="82" t="str">
        <f>ORÇAMENTO!F330</f>
        <v>und.</v>
      </c>
      <c r="F547" s="354">
        <f>ORÇAMENTO!E330</f>
        <v>4</v>
      </c>
      <c r="G547" s="369"/>
      <c r="H547" s="369"/>
      <c r="I547" s="369"/>
      <c r="J547" s="370"/>
    </row>
    <row r="548" spans="1:10" x14ac:dyDescent="0.3">
      <c r="A548" s="247" t="str">
        <f>ORÇAMENTO!A331</f>
        <v>7.186</v>
      </c>
      <c r="B548" s="73" t="str">
        <f>ORÇAMENTO!B331</f>
        <v>GOINFRA</v>
      </c>
      <c r="C548" s="74">
        <f>ORÇAMENTO!C331</f>
        <v>71598</v>
      </c>
      <c r="D548" s="75" t="str">
        <f>ORÇAMENTO!D331</f>
        <v>LUMINÁRIA DE EMERGÊNCIA 30 LEDS</v>
      </c>
      <c r="E548" s="82" t="str">
        <f>ORÇAMENTO!F331</f>
        <v>und.</v>
      </c>
      <c r="F548" s="354">
        <f>ORÇAMENTO!E331</f>
        <v>6</v>
      </c>
      <c r="G548" s="369"/>
      <c r="H548" s="369"/>
      <c r="I548" s="369"/>
      <c r="J548" s="370"/>
    </row>
    <row r="549" spans="1:10" x14ac:dyDescent="0.3">
      <c r="A549" s="247" t="str">
        <f>ORÇAMENTO!A332</f>
        <v>7.187</v>
      </c>
      <c r="B549" s="420" t="str">
        <f>ORÇAMENTO!B332</f>
        <v>Cotação</v>
      </c>
      <c r="C549" s="421"/>
      <c r="D549" s="75" t="str">
        <f>ORÇAMENTO!D332</f>
        <v xml:space="preserve"> PÓ EXTINTOR BD Á BASE DE BICARBONATO DE POTÁSSIO (PURPLE K) </v>
      </c>
      <c r="E549" s="82" t="str">
        <f>ORÇAMENTO!F332</f>
        <v>und.</v>
      </c>
      <c r="F549" s="354">
        <f>ORÇAMENTO!E332</f>
        <v>2</v>
      </c>
      <c r="G549" s="369"/>
      <c r="H549" s="369"/>
      <c r="I549" s="369"/>
      <c r="J549" s="370"/>
    </row>
    <row r="550" spans="1:10" x14ac:dyDescent="0.3">
      <c r="A550" s="247" t="str">
        <f>ORÇAMENTO!A333</f>
        <v>7.188</v>
      </c>
      <c r="B550" s="420" t="str">
        <f>ORÇAMENTO!B333</f>
        <v>Cotação</v>
      </c>
      <c r="C550" s="421"/>
      <c r="D550" s="75" t="str">
        <f>ORÇAMENTO!D333</f>
        <v>PLACAS INDICATIVAS - Extintor 10x20 cm</v>
      </c>
      <c r="E550" s="82" t="str">
        <f>ORÇAMENTO!F333</f>
        <v>und.</v>
      </c>
      <c r="F550" s="354">
        <f>ORÇAMENTO!E333</f>
        <v>6</v>
      </c>
      <c r="G550" s="369"/>
      <c r="H550" s="369"/>
      <c r="I550" s="369"/>
      <c r="J550" s="370"/>
    </row>
    <row r="551" spans="1:10" x14ac:dyDescent="0.3">
      <c r="A551" s="247" t="str">
        <f>ORÇAMENTO!A334</f>
        <v>7.189</v>
      </c>
      <c r="B551" s="420" t="str">
        <f>ORÇAMENTO!B334</f>
        <v>Cotação</v>
      </c>
      <c r="C551" s="421"/>
      <c r="D551" s="75" t="str">
        <f>ORÇAMENTO!D334</f>
        <v>PLACAS INDICATIVAS - Saída 10x20 cm</v>
      </c>
      <c r="E551" s="82" t="str">
        <f>ORÇAMENTO!F334</f>
        <v>und.</v>
      </c>
      <c r="F551" s="354">
        <f>ORÇAMENTO!E334</f>
        <v>12</v>
      </c>
      <c r="G551" s="369"/>
      <c r="H551" s="369"/>
      <c r="I551" s="369"/>
      <c r="J551" s="370"/>
    </row>
    <row r="552" spans="1:10" x14ac:dyDescent="0.3">
      <c r="A552" s="247" t="str">
        <f>ORÇAMENTO!A335</f>
        <v>7.190</v>
      </c>
      <c r="B552" s="420" t="str">
        <f>ORÇAMENTO!B335</f>
        <v>Cotação</v>
      </c>
      <c r="C552" s="421"/>
      <c r="D552" s="75" t="str">
        <f>ORÇAMENTO!D335</f>
        <v>PLACAS INDICATIVAS - MANGUEIRA / HIDRANTE 10x20 cm</v>
      </c>
      <c r="E552" s="82" t="str">
        <f>ORÇAMENTO!F335</f>
        <v>und.</v>
      </c>
      <c r="F552" s="354">
        <f>ORÇAMENTO!E335</f>
        <v>4</v>
      </c>
      <c r="G552" s="369"/>
      <c r="H552" s="369"/>
      <c r="I552" s="369"/>
      <c r="J552" s="370"/>
    </row>
    <row r="553" spans="1:10" x14ac:dyDescent="0.3">
      <c r="A553" s="247" t="str">
        <f>ORÇAMENTO!A336</f>
        <v>7.191</v>
      </c>
      <c r="B553" s="420" t="str">
        <f>ORÇAMENTO!B336</f>
        <v>Cotação</v>
      </c>
      <c r="C553" s="421"/>
      <c r="D553" s="75" t="str">
        <f>ORÇAMENTO!D336</f>
        <v xml:space="preserve">PLACAS INDICATIVAS - ALARME DE INCENDIO </v>
      </c>
      <c r="E553" s="82" t="str">
        <f>ORÇAMENTO!F336</f>
        <v>und.</v>
      </c>
      <c r="F553" s="354">
        <f>ORÇAMENTO!E336</f>
        <v>6</v>
      </c>
      <c r="G553" s="369"/>
      <c r="H553" s="369"/>
      <c r="I553" s="369"/>
      <c r="J553" s="370"/>
    </row>
    <row r="554" spans="1:10" x14ac:dyDescent="0.3">
      <c r="A554" s="247" t="str">
        <f>ORÇAMENTO!A337</f>
        <v>7.192</v>
      </c>
      <c r="B554" s="420" t="str">
        <f>ORÇAMENTO!B337</f>
        <v>Cotação</v>
      </c>
      <c r="C554" s="421"/>
      <c r="D554" s="75" t="str">
        <f>ORÇAMENTO!D337</f>
        <v>ACIONADOR MANUAL DE ALARME DE INCENDIO</v>
      </c>
      <c r="E554" s="82" t="str">
        <f>ORÇAMENTO!F337</f>
        <v>und.</v>
      </c>
      <c r="F554" s="354">
        <f>ORÇAMENTO!E337</f>
        <v>8</v>
      </c>
      <c r="G554" s="369"/>
      <c r="H554" s="369"/>
      <c r="I554" s="369"/>
      <c r="J554" s="370"/>
    </row>
    <row r="555" spans="1:10" x14ac:dyDescent="0.3">
      <c r="A555" s="247" t="str">
        <f>ORÇAMENTO!A338</f>
        <v>7.193</v>
      </c>
      <c r="B555" s="73" t="str">
        <f>ORÇAMENTO!B338</f>
        <v>GOINFRA</v>
      </c>
      <c r="C555" s="74">
        <f>ORÇAMENTO!C338</f>
        <v>72338</v>
      </c>
      <c r="D555" s="75" t="str">
        <f>ORÇAMENTO!D338</f>
        <v>SIRENE METALICA ALCANCE 500 M</v>
      </c>
      <c r="E555" s="82" t="str">
        <f>ORÇAMENTO!F338</f>
        <v>und.</v>
      </c>
      <c r="F555" s="354">
        <f>ORÇAMENTO!E338</f>
        <v>5</v>
      </c>
      <c r="G555" s="369"/>
      <c r="H555" s="369"/>
      <c r="I555" s="369"/>
      <c r="J555" s="370"/>
    </row>
    <row r="556" spans="1:10" x14ac:dyDescent="0.3">
      <c r="A556" s="247" t="str">
        <f>ORÇAMENTO!A339</f>
        <v>7.194</v>
      </c>
      <c r="B556" s="73" t="str">
        <f>ORÇAMENTO!B339</f>
        <v>GOINFRA</v>
      </c>
      <c r="C556" s="74">
        <f>ORÇAMENTO!C339</f>
        <v>85041</v>
      </c>
      <c r="D556" s="75" t="str">
        <f>ORÇAMENTO!D339</f>
        <v>MANOMETRO - 0 A 10 KG/CM2</v>
      </c>
      <c r="E556" s="82" t="str">
        <f>ORÇAMENTO!F339</f>
        <v>und.</v>
      </c>
      <c r="F556" s="354">
        <f>ORÇAMENTO!E339</f>
        <v>1</v>
      </c>
      <c r="G556" s="369"/>
      <c r="H556" s="369"/>
      <c r="I556" s="369"/>
      <c r="J556" s="370"/>
    </row>
    <row r="557" spans="1:10" ht="15" thickBot="1" x14ac:dyDescent="0.35">
      <c r="A557" s="415" t="str">
        <f>ORÇAMENTO!A341</f>
        <v>GRUPO DE SERVIÇO: 171 - INSTALAÇÕES ESPECIAIS</v>
      </c>
      <c r="B557" s="416"/>
      <c r="C557" s="416"/>
      <c r="D557" s="416"/>
      <c r="E557" s="416"/>
      <c r="F557" s="416"/>
      <c r="G557" s="416"/>
      <c r="H557" s="416"/>
      <c r="I557" s="416"/>
      <c r="J557" s="417"/>
    </row>
    <row r="558" spans="1:10" x14ac:dyDescent="0.3">
      <c r="A558" s="249">
        <f>ORÇAMENTO!A342</f>
        <v>8</v>
      </c>
      <c r="B558" s="87" t="str">
        <f>ORÇAMENTO!B342</f>
        <v>GOINFRA</v>
      </c>
      <c r="C558" s="81">
        <f>ORÇAMENTO!C342</f>
        <v>90000</v>
      </c>
      <c r="D558" s="441" t="str">
        <f>ORÇAMENTO!D342</f>
        <v>INSTALACOES ESPECIAIS</v>
      </c>
      <c r="E558" s="442"/>
      <c r="F558" s="442"/>
      <c r="G558" s="442"/>
      <c r="H558" s="442"/>
      <c r="I558" s="442"/>
      <c r="J558" s="443"/>
    </row>
    <row r="559" spans="1:10" x14ac:dyDescent="0.3">
      <c r="A559" s="247" t="str">
        <f>ORÇAMENTO!A343</f>
        <v>8.1</v>
      </c>
      <c r="B559" s="93" t="str">
        <f>ORÇAMENTO!B343</f>
        <v>GOINFRA</v>
      </c>
      <c r="C559" s="217">
        <f>ORÇAMENTO!C343</f>
        <v>91007</v>
      </c>
      <c r="D559" s="219" t="str">
        <f>ORÇAMENTO!D343</f>
        <v>CENTRAL DE GÁS PADRÃO GOINFRA SEM INSTALAÇÕES (1+1 CILINDRO 45 KG)</v>
      </c>
      <c r="E559" s="74" t="str">
        <f>ORÇAMENTO!F343</f>
        <v>und.</v>
      </c>
      <c r="F559" s="354">
        <v>1</v>
      </c>
      <c r="G559" s="369"/>
      <c r="H559" s="369"/>
      <c r="I559" s="369"/>
      <c r="J559" s="370"/>
    </row>
    <row r="560" spans="1:10" ht="28.8" x14ac:dyDescent="0.3">
      <c r="A560" s="247" t="str">
        <f>ORÇAMENTO!A344</f>
        <v>8.2</v>
      </c>
      <c r="B560" s="94" t="str">
        <f>ORÇAMENTO!B344</f>
        <v>SINAPI</v>
      </c>
      <c r="C560" s="217">
        <f>ORÇAMENTO!C344</f>
        <v>97341</v>
      </c>
      <c r="D560" s="86" t="str">
        <f>ORÇAMENTO!D344</f>
        <v>TUBO EM COBRE RÍGIDO, DN 15 MM, CLASSE A, SEM ISOLAMENTO, INSTALADO EM RAMAL DE DISTRIBUIÇÃO FORNECIMENTO E INSTALAÇÃO. AF_12/2015</v>
      </c>
      <c r="E560" s="74" t="str">
        <f>ORÇAMENTO!F344</f>
        <v>m</v>
      </c>
      <c r="F560" s="354">
        <f>ORÇAMENTO!E344</f>
        <v>100</v>
      </c>
      <c r="G560" s="369"/>
      <c r="H560" s="369"/>
      <c r="I560" s="369"/>
      <c r="J560" s="370"/>
    </row>
    <row r="561" spans="1:10" ht="28.8" x14ac:dyDescent="0.3">
      <c r="A561" s="247" t="str">
        <f>ORÇAMENTO!A345</f>
        <v>8.3</v>
      </c>
      <c r="B561" s="94" t="str">
        <f>ORÇAMENTO!B345</f>
        <v>SINAPI</v>
      </c>
      <c r="C561" s="217">
        <f>ORÇAMENTO!C345</f>
        <v>97335</v>
      </c>
      <c r="D561" s="86" t="str">
        <f>ORÇAMENTO!D345</f>
        <v>TUBO EM COBRE RÍGIDO, DN 22 MM, CLASSE A, SEM ISOLAMENTO, INSTALADO EM PRUMADA FORNECIMENTO E INSTALAÇÃO. AF_12/2015</v>
      </c>
      <c r="E561" s="74" t="str">
        <f>ORÇAMENTO!F345</f>
        <v>m</v>
      </c>
      <c r="F561" s="354">
        <f>ORÇAMENTO!E345</f>
        <v>50</v>
      </c>
      <c r="G561" s="369"/>
      <c r="H561" s="369"/>
      <c r="I561" s="369"/>
      <c r="J561" s="370"/>
    </row>
    <row r="562" spans="1:10" ht="28.8" x14ac:dyDescent="0.3">
      <c r="A562" s="247" t="str">
        <f>ORÇAMENTO!A346</f>
        <v>8.4</v>
      </c>
      <c r="B562" s="94" t="str">
        <f>ORÇAMENTO!B346</f>
        <v>SINAPI</v>
      </c>
      <c r="C562" s="217">
        <f>ORÇAMENTO!C346</f>
        <v>97341</v>
      </c>
      <c r="D562" s="86" t="str">
        <f>ORÇAMENTO!D346</f>
        <v xml:space="preserve"> TUBO EM COBRE RÍGIDO, DN 15 MM, CLASSE A, SEM ISOLAMENTO, INSTALADO EM RAMAL DE DISTRIBUIÇÃO FORNECIMENTO E INSTALAÇÃO. AF_12/2015</v>
      </c>
      <c r="E562" s="74" t="str">
        <f>ORÇAMENTO!F346</f>
        <v>m</v>
      </c>
      <c r="F562" s="354">
        <f>ORÇAMENTO!E346</f>
        <v>10</v>
      </c>
      <c r="G562" s="369"/>
      <c r="H562" s="369"/>
      <c r="I562" s="369"/>
      <c r="J562" s="370"/>
    </row>
    <row r="563" spans="1:10" x14ac:dyDescent="0.3">
      <c r="A563" s="247" t="str">
        <f>ORÇAMENTO!A347</f>
        <v>8.5</v>
      </c>
      <c r="B563" s="418" t="str">
        <f>ORÇAMENTO!B347</f>
        <v>Cotação</v>
      </c>
      <c r="C563" s="419"/>
      <c r="D563" s="86" t="str">
        <f>ORÇAMENTO!D347</f>
        <v>PONTO CONSUMO OXIGENIO MED</v>
      </c>
      <c r="E563" s="74" t="str">
        <f>ORÇAMENTO!F347</f>
        <v>und.</v>
      </c>
      <c r="F563" s="354">
        <f>ORÇAMENTO!E347</f>
        <v>14</v>
      </c>
      <c r="G563" s="369"/>
      <c r="H563" s="369"/>
      <c r="I563" s="369"/>
      <c r="J563" s="370"/>
    </row>
    <row r="564" spans="1:10" x14ac:dyDescent="0.3">
      <c r="A564" s="247" t="str">
        <f>ORÇAMENTO!A348</f>
        <v>8.6</v>
      </c>
      <c r="B564" s="418" t="str">
        <f>ORÇAMENTO!B348</f>
        <v>Cotação</v>
      </c>
      <c r="C564" s="419"/>
      <c r="D564" s="86" t="str">
        <f>ORÇAMENTO!D348</f>
        <v>PONTO CONSUMO AR COMPRIMIDO</v>
      </c>
      <c r="E564" s="74" t="str">
        <f>ORÇAMENTO!F348</f>
        <v>und.</v>
      </c>
      <c r="F564" s="354">
        <f>ORÇAMENTO!E348</f>
        <v>7</v>
      </c>
      <c r="G564" s="369"/>
      <c r="H564" s="369"/>
      <c r="I564" s="369"/>
      <c r="J564" s="370"/>
    </row>
    <row r="565" spans="1:10" x14ac:dyDescent="0.3">
      <c r="A565" s="247" t="str">
        <f>ORÇAMENTO!A349</f>
        <v>8.7</v>
      </c>
      <c r="B565" s="418" t="str">
        <f>ORÇAMENTO!B349</f>
        <v>Cotação</v>
      </c>
      <c r="C565" s="419"/>
      <c r="D565" s="86" t="str">
        <f>ORÇAMENTO!D349</f>
        <v>PONTO CONSUMO VACUO</v>
      </c>
      <c r="E565" s="74" t="str">
        <f>ORÇAMENTO!F349</f>
        <v>und.</v>
      </c>
      <c r="F565" s="354">
        <f>ORÇAMENTO!E349</f>
        <v>7</v>
      </c>
      <c r="G565" s="369"/>
      <c r="H565" s="369"/>
      <c r="I565" s="369"/>
      <c r="J565" s="370"/>
    </row>
    <row r="566" spans="1:10" x14ac:dyDescent="0.3">
      <c r="A566" s="247" t="str">
        <f>ORÇAMENTO!A350</f>
        <v>8.8</v>
      </c>
      <c r="B566" s="418" t="str">
        <f>ORÇAMENTO!B350</f>
        <v>Cotação</v>
      </c>
      <c r="C566" s="419"/>
      <c r="D566" s="86" t="str">
        <f>ORÇAMENTO!D350</f>
        <v>VALVULA ESP. TRIPARTIDA 1/2</v>
      </c>
      <c r="E566" s="74" t="str">
        <f>ORÇAMENTO!F350</f>
        <v>und.</v>
      </c>
      <c r="F566" s="354">
        <f>ORÇAMENTO!E350</f>
        <v>5</v>
      </c>
      <c r="G566" s="369"/>
      <c r="H566" s="369"/>
      <c r="I566" s="369"/>
      <c r="J566" s="370"/>
    </row>
    <row r="567" spans="1:10" x14ac:dyDescent="0.3">
      <c r="A567" s="247" t="str">
        <f>ORÇAMENTO!A351</f>
        <v>8.9</v>
      </c>
      <c r="B567" s="418" t="str">
        <f>ORÇAMENTO!B351</f>
        <v>Cotação</v>
      </c>
      <c r="C567" s="419"/>
      <c r="D567" s="86" t="str">
        <f>ORÇAMENTO!D351</f>
        <v>CENTRAL DE ALARME</v>
      </c>
      <c r="E567" s="74" t="str">
        <f>ORÇAMENTO!F351</f>
        <v>und.</v>
      </c>
      <c r="F567" s="354">
        <f>ORÇAMENTO!E351</f>
        <v>1</v>
      </c>
      <c r="G567" s="369"/>
      <c r="H567" s="369"/>
      <c r="I567" s="369"/>
      <c r="J567" s="370"/>
    </row>
    <row r="568" spans="1:10" x14ac:dyDescent="0.3">
      <c r="A568" s="247" t="str">
        <f>ORÇAMENTO!A352</f>
        <v>8.10</v>
      </c>
      <c r="B568" s="418" t="str">
        <f>ORÇAMENTO!B352</f>
        <v>Cotação</v>
      </c>
      <c r="C568" s="419"/>
      <c r="D568" s="86" t="str">
        <f>ORÇAMENTO!D352</f>
        <v>SOLDA PRATA</v>
      </c>
      <c r="E568" s="74" t="str">
        <f>ORÇAMENTO!F352</f>
        <v>kg</v>
      </c>
      <c r="F568" s="354">
        <f>ORÇAMENTO!E352</f>
        <v>1.5</v>
      </c>
      <c r="G568" s="369"/>
      <c r="H568" s="369"/>
      <c r="I568" s="369"/>
      <c r="J568" s="370"/>
    </row>
    <row r="569" spans="1:10" x14ac:dyDescent="0.3">
      <c r="A569" s="247" t="str">
        <f>ORÇAMENTO!A353</f>
        <v>8.11</v>
      </c>
      <c r="B569" s="418" t="str">
        <f>ORÇAMENTO!B353</f>
        <v>Cotação</v>
      </c>
      <c r="C569" s="419"/>
      <c r="D569" s="86" t="str">
        <f>ORÇAMENTO!D353</f>
        <v>PASTA FLUXO</v>
      </c>
      <c r="E569" s="74" t="str">
        <f>ORÇAMENTO!F353</f>
        <v>kg</v>
      </c>
      <c r="F569" s="354">
        <f>ORÇAMENTO!E353</f>
        <v>0.5</v>
      </c>
      <c r="G569" s="369"/>
      <c r="H569" s="369"/>
      <c r="I569" s="369"/>
      <c r="J569" s="370"/>
    </row>
    <row r="570" spans="1:10" x14ac:dyDescent="0.3">
      <c r="A570" s="247" t="str">
        <f>ORÇAMENTO!A354</f>
        <v>8.12</v>
      </c>
      <c r="B570" s="418" t="str">
        <f>ORÇAMENTO!B354</f>
        <v>Cotação</v>
      </c>
      <c r="C570" s="419"/>
      <c r="D570" s="86" t="str">
        <f>ORÇAMENTO!D354</f>
        <v>CONECTOR DE 1/2 MACHO</v>
      </c>
      <c r="E570" s="74" t="str">
        <f>ORÇAMENTO!F354</f>
        <v>und.</v>
      </c>
      <c r="F570" s="354">
        <f>ORÇAMENTO!E354</f>
        <v>40</v>
      </c>
      <c r="G570" s="369"/>
      <c r="H570" s="369"/>
      <c r="I570" s="369"/>
      <c r="J570" s="370"/>
    </row>
    <row r="571" spans="1:10" ht="28.8" x14ac:dyDescent="0.3">
      <c r="A571" s="247" t="str">
        <f>ORÇAMENTO!A355</f>
        <v>8.13</v>
      </c>
      <c r="B571" s="94" t="str">
        <f>ORÇAMENTO!B355</f>
        <v>SINAPI</v>
      </c>
      <c r="C571" s="217">
        <f>ORÇAMENTO!C355</f>
        <v>92311</v>
      </c>
      <c r="D571" s="86" t="str">
        <f>ORÇAMENTO!D355</f>
        <v>COTOVELO EM COBRE, DN 15 MM, 90 GRAUS, SEM ANEL DE SOLDA, INSTALADO EM RAMAL DE DISTRIBUIÇÃO FORNECIMENTO E INSTALAÇÃO. AF_12/2015</v>
      </c>
      <c r="E571" s="74" t="str">
        <f>ORÇAMENTO!F355</f>
        <v>und.</v>
      </c>
      <c r="F571" s="354">
        <f>ORÇAMENTO!E355</f>
        <v>50</v>
      </c>
      <c r="G571" s="369"/>
      <c r="H571" s="369"/>
      <c r="I571" s="369"/>
      <c r="J571" s="370"/>
    </row>
    <row r="572" spans="1:10" ht="28.8" x14ac:dyDescent="0.3">
      <c r="A572" s="247" t="str">
        <f>ORÇAMENTO!A356</f>
        <v>8.14</v>
      </c>
      <c r="B572" s="94" t="str">
        <f>ORÇAMENTO!B356</f>
        <v>SINAPI</v>
      </c>
      <c r="C572" s="217">
        <f>ORÇAMENTO!C356</f>
        <v>92287</v>
      </c>
      <c r="D572" s="86" t="str">
        <f>ORÇAMENTO!D356</f>
        <v>COTOVELO EM COBRE, DN 22 MM, 90 GRAUS, SEM ANEL DE SOLDA, INSTALADO EM PRUMADA FORNECIMENTO E INSTALAÇÃO. AF_12/2015</v>
      </c>
      <c r="E572" s="74" t="str">
        <f>ORÇAMENTO!F356</f>
        <v>und.</v>
      </c>
      <c r="F572" s="354">
        <f>ORÇAMENTO!E356</f>
        <v>45</v>
      </c>
      <c r="G572" s="369"/>
      <c r="H572" s="369"/>
      <c r="I572" s="369"/>
      <c r="J572" s="370"/>
    </row>
    <row r="573" spans="1:10" ht="28.8" x14ac:dyDescent="0.3">
      <c r="A573" s="247" t="str">
        <f>ORÇAMENTO!A357</f>
        <v>8.15</v>
      </c>
      <c r="B573" s="94" t="str">
        <f>ORÇAMENTO!B357</f>
        <v>SINAPI</v>
      </c>
      <c r="C573" s="217">
        <f>ORÇAMENTO!C357</f>
        <v>92315</v>
      </c>
      <c r="D573" s="86" t="str">
        <f>ORÇAMENTO!D357</f>
        <v>LUVA EM COBRE, DN 22 MM, SEM ANEL DE SOLDA, INSTALADO EM RAMAL DE DISTRIBUIÇÃO FORNECIMENTO E INSTALAÇÃO. AF_12/2015</v>
      </c>
      <c r="E573" s="74" t="str">
        <f>ORÇAMENTO!F357</f>
        <v>und.</v>
      </c>
      <c r="F573" s="354">
        <f>ORÇAMENTO!E357</f>
        <v>20</v>
      </c>
      <c r="G573" s="369"/>
      <c r="H573" s="369"/>
      <c r="I573" s="369"/>
      <c r="J573" s="370"/>
    </row>
    <row r="574" spans="1:10" ht="28.8" x14ac:dyDescent="0.3">
      <c r="A574" s="247" t="str">
        <f>ORÇAMENTO!A358</f>
        <v>8.16</v>
      </c>
      <c r="B574" s="94" t="str">
        <f>ORÇAMENTO!B358</f>
        <v>SINAPI</v>
      </c>
      <c r="C574" s="217">
        <f>ORÇAMENTO!C358</f>
        <v>92314</v>
      </c>
      <c r="D574" s="86" t="str">
        <f>ORÇAMENTO!D358</f>
        <v>LUVA EM COBRE, DN 15 MM, SEM ANEL DE SOLDA, INSTALADO EM RAMAL DE DISTRIBUIÇÃO FORNECIMENTO E INSTALAÇÃO. AF_12/2015</v>
      </c>
      <c r="E574" s="74" t="str">
        <f>ORÇAMENTO!F358</f>
        <v>und.</v>
      </c>
      <c r="F574" s="354">
        <f>ORÇAMENTO!E358</f>
        <v>50</v>
      </c>
      <c r="G574" s="369"/>
      <c r="H574" s="369"/>
      <c r="I574" s="369"/>
      <c r="J574" s="370"/>
    </row>
    <row r="575" spans="1:10" ht="28.8" x14ac:dyDescent="0.3">
      <c r="A575" s="247" t="str">
        <f>ORÇAMENTO!A359</f>
        <v>8.17</v>
      </c>
      <c r="B575" s="94" t="str">
        <f>ORÇAMENTO!B359</f>
        <v>SINAPI</v>
      </c>
      <c r="C575" s="217">
        <f>ORÇAMENTO!C359</f>
        <v>93051</v>
      </c>
      <c r="D575" s="86" t="str">
        <f>ORÇAMENTO!D359</f>
        <v>BUCHA DE REDUÇÃO EM COBRE, DN 22 MM X 15 MM, SEM ANEL DE SOLDA, BOLSA X BOLSA, INSTALADO EM PRUMADA FORNECIMENTO E INSTALAÇÃO. AF_01/2016</v>
      </c>
      <c r="E575" s="74" t="str">
        <f>ORÇAMENTO!F359</f>
        <v>und.</v>
      </c>
      <c r="F575" s="354">
        <f>ORÇAMENTO!E359</f>
        <v>30</v>
      </c>
      <c r="G575" s="369"/>
      <c r="H575" s="369"/>
      <c r="I575" s="369"/>
      <c r="J575" s="370"/>
    </row>
    <row r="576" spans="1:10" x14ac:dyDescent="0.3">
      <c r="A576" s="247" t="str">
        <f>ORÇAMENTO!A360</f>
        <v>8.18</v>
      </c>
      <c r="B576" s="418" t="str">
        <f>ORÇAMENTO!B360</f>
        <v>Cotação</v>
      </c>
      <c r="C576" s="419"/>
      <c r="D576" s="86" t="str">
        <f>ORÇAMENTO!D360</f>
        <v>CENTRAL MANIFOLD DUPLA PARA CILINDROS</v>
      </c>
      <c r="E576" s="74" t="str">
        <f>ORÇAMENTO!F360</f>
        <v>und.</v>
      </c>
      <c r="F576" s="354">
        <f>ORÇAMENTO!E360</f>
        <v>1</v>
      </c>
      <c r="G576" s="369"/>
      <c r="H576" s="369"/>
      <c r="I576" s="369"/>
      <c r="J576" s="370"/>
    </row>
    <row r="577" spans="1:10" ht="15" thickBot="1" x14ac:dyDescent="0.35">
      <c r="A577" s="415" t="s">
        <v>34</v>
      </c>
      <c r="B577" s="416"/>
      <c r="C577" s="416"/>
      <c r="D577" s="416"/>
      <c r="E577" s="416"/>
      <c r="F577" s="416"/>
      <c r="G577" s="416"/>
      <c r="H577" s="416"/>
      <c r="I577" s="416"/>
      <c r="J577" s="417"/>
    </row>
    <row r="578" spans="1:10" x14ac:dyDescent="0.3">
      <c r="A578" s="249">
        <v>9</v>
      </c>
      <c r="B578" s="87" t="s">
        <v>10</v>
      </c>
      <c r="C578" s="81">
        <v>100000</v>
      </c>
      <c r="D578" s="262" t="s">
        <v>35</v>
      </c>
      <c r="E578" s="95"/>
      <c r="F578" s="231"/>
      <c r="G578" s="231"/>
      <c r="H578" s="95"/>
      <c r="I578" s="95"/>
      <c r="J578" s="96"/>
    </row>
    <row r="579" spans="1:10" ht="28.8" x14ac:dyDescent="0.3">
      <c r="A579" s="247" t="str">
        <f>ORÇAMENTO!A364</f>
        <v>9.1</v>
      </c>
      <c r="B579" s="73" t="str">
        <f>ORÇAMENTO!B364</f>
        <v>GOINFRA</v>
      </c>
      <c r="C579" s="74">
        <f>ORÇAMENTO!C364</f>
        <v>100155</v>
      </c>
      <c r="D579" s="75" t="str">
        <f>ORÇAMENTO!D364</f>
        <v>ALVENARIA DE TIJOLO FURADO 1/2 VEZ 11,5 X 19 X 19 - ARG. ( 1 CALH:4ARML + 100 KG DECI/M3)</v>
      </c>
      <c r="E579" s="74" t="str">
        <f>ORÇAMENTO!F364</f>
        <v xml:space="preserve">m2 </v>
      </c>
      <c r="F579" s="358" t="s">
        <v>101</v>
      </c>
      <c r="G579" s="359"/>
      <c r="H579" s="358" t="s">
        <v>118</v>
      </c>
      <c r="I579" s="359"/>
      <c r="J579" s="79" t="s">
        <v>86</v>
      </c>
    </row>
    <row r="580" spans="1:10" ht="45.75" customHeight="1" x14ac:dyDescent="0.3">
      <c r="A580" s="247"/>
      <c r="B580" s="73"/>
      <c r="C580" s="74"/>
      <c r="D580" s="75" t="s">
        <v>491</v>
      </c>
      <c r="E580" s="82"/>
      <c r="F580" s="358" t="s">
        <v>873</v>
      </c>
      <c r="G580" s="359"/>
      <c r="H580" s="354">
        <v>4.5</v>
      </c>
      <c r="I580" s="355"/>
      <c r="J580" s="79">
        <f>(7.15+10.14+44.13+49.74+44.13+6.8+33.37+32.8+40.48+18+18+3.98+3.98)*H580</f>
        <v>1407.15</v>
      </c>
    </row>
    <row r="581" spans="1:10" x14ac:dyDescent="0.3">
      <c r="A581" s="247"/>
      <c r="B581" s="73"/>
      <c r="C581" s="74"/>
      <c r="D581" s="75" t="s">
        <v>492</v>
      </c>
      <c r="E581" s="82"/>
      <c r="F581" s="358" t="s">
        <v>504</v>
      </c>
      <c r="G581" s="359"/>
      <c r="H581" s="354">
        <v>2.1</v>
      </c>
      <c r="I581" s="355"/>
      <c r="J581" s="79">
        <f>-(1+6*0.8+3+2*3.5)*H581</f>
        <v>-33.18</v>
      </c>
    </row>
    <row r="582" spans="1:10" x14ac:dyDescent="0.3">
      <c r="A582" s="247"/>
      <c r="B582" s="73"/>
      <c r="C582" s="74"/>
      <c r="D582" s="75" t="s">
        <v>493</v>
      </c>
      <c r="E582" s="82"/>
      <c r="F582" s="358" t="s">
        <v>505</v>
      </c>
      <c r="G582" s="359"/>
      <c r="H582" s="354">
        <v>0.5</v>
      </c>
      <c r="I582" s="355"/>
      <c r="J582" s="79">
        <f>-6*1.6*0.5</f>
        <v>-4.8000000000000007</v>
      </c>
    </row>
    <row r="583" spans="1:10" x14ac:dyDescent="0.3">
      <c r="A583" s="247"/>
      <c r="B583" s="73"/>
      <c r="C583" s="74"/>
      <c r="D583" s="75" t="s">
        <v>493</v>
      </c>
      <c r="E583" s="82"/>
      <c r="F583" s="358" t="s">
        <v>506</v>
      </c>
      <c r="G583" s="359"/>
      <c r="H583" s="354">
        <v>1.1000000000000001</v>
      </c>
      <c r="I583" s="355"/>
      <c r="J583" s="79">
        <f>-24*1.8*1.1</f>
        <v>-47.52000000000001</v>
      </c>
    </row>
    <row r="584" spans="1:10" x14ac:dyDescent="0.3">
      <c r="A584" s="247"/>
      <c r="B584" s="73"/>
      <c r="C584" s="74"/>
      <c r="D584" s="75" t="s">
        <v>493</v>
      </c>
      <c r="E584" s="82"/>
      <c r="F584" s="358">
        <v>1.7</v>
      </c>
      <c r="G584" s="359"/>
      <c r="H584" s="354">
        <v>1</v>
      </c>
      <c r="I584" s="355"/>
      <c r="J584" s="79">
        <f>-1.7*1</f>
        <v>-1.7</v>
      </c>
    </row>
    <row r="585" spans="1:10" x14ac:dyDescent="0.3">
      <c r="A585" s="247"/>
      <c r="B585" s="73"/>
      <c r="C585" s="74"/>
      <c r="D585" s="75" t="s">
        <v>493</v>
      </c>
      <c r="E585" s="82"/>
      <c r="F585" s="358" t="s">
        <v>507</v>
      </c>
      <c r="G585" s="359"/>
      <c r="H585" s="354">
        <v>0.5</v>
      </c>
      <c r="I585" s="355"/>
      <c r="J585" s="79">
        <f>-13*0.5*0.5</f>
        <v>-3.25</v>
      </c>
    </row>
    <row r="586" spans="1:10" x14ac:dyDescent="0.3">
      <c r="A586" s="247"/>
      <c r="B586" s="73"/>
      <c r="C586" s="74"/>
      <c r="D586" s="75" t="s">
        <v>493</v>
      </c>
      <c r="E586" s="82"/>
      <c r="F586" s="358" t="s">
        <v>508</v>
      </c>
      <c r="G586" s="359"/>
      <c r="H586" s="354">
        <v>1.1000000000000001</v>
      </c>
      <c r="I586" s="355"/>
      <c r="J586" s="79">
        <f>-15*1.6*1.1</f>
        <v>-26.400000000000002</v>
      </c>
    </row>
    <row r="587" spans="1:10" x14ac:dyDescent="0.3">
      <c r="A587" s="247"/>
      <c r="B587" s="73"/>
      <c r="C587" s="74"/>
      <c r="D587" s="75" t="s">
        <v>493</v>
      </c>
      <c r="E587" s="82"/>
      <c r="F587" s="358" t="s">
        <v>508</v>
      </c>
      <c r="G587" s="359"/>
      <c r="H587" s="354">
        <v>0.5</v>
      </c>
      <c r="I587" s="355"/>
      <c r="J587" s="79">
        <f>-15*1.6*0.5</f>
        <v>-12</v>
      </c>
    </row>
    <row r="588" spans="1:10" x14ac:dyDescent="0.3">
      <c r="A588" s="247"/>
      <c r="B588" s="73"/>
      <c r="C588" s="74"/>
      <c r="D588" s="75" t="s">
        <v>494</v>
      </c>
      <c r="E588" s="82"/>
      <c r="F588" s="358">
        <v>3.6</v>
      </c>
      <c r="G588" s="359"/>
      <c r="H588" s="354">
        <v>1.65</v>
      </c>
      <c r="I588" s="355"/>
      <c r="J588" s="79">
        <f>-H588*F588</f>
        <v>-5.9399999999999995</v>
      </c>
    </row>
    <row r="589" spans="1:10" x14ac:dyDescent="0.3">
      <c r="A589" s="247"/>
      <c r="B589" s="73"/>
      <c r="C589" s="74"/>
      <c r="D589" s="75" t="s">
        <v>494</v>
      </c>
      <c r="E589" s="82"/>
      <c r="F589" s="358">
        <v>2</v>
      </c>
      <c r="G589" s="359"/>
      <c r="H589" s="354">
        <v>1</v>
      </c>
      <c r="I589" s="355"/>
      <c r="J589" s="79">
        <f>-H589*F589</f>
        <v>-2</v>
      </c>
    </row>
    <row r="590" spans="1:10" x14ac:dyDescent="0.3">
      <c r="A590" s="247"/>
      <c r="B590" s="73"/>
      <c r="C590" s="74"/>
      <c r="D590" s="75" t="s">
        <v>494</v>
      </c>
      <c r="E590" s="82"/>
      <c r="F590" s="358">
        <v>3</v>
      </c>
      <c r="G590" s="359"/>
      <c r="H590" s="354">
        <v>2.6</v>
      </c>
      <c r="I590" s="355"/>
      <c r="J590" s="79">
        <f>-H590*F590</f>
        <v>-7.8000000000000007</v>
      </c>
    </row>
    <row r="591" spans="1:10" x14ac:dyDescent="0.3">
      <c r="A591" s="247"/>
      <c r="B591" s="73"/>
      <c r="C591" s="74"/>
      <c r="D591" s="75" t="s">
        <v>1117</v>
      </c>
      <c r="E591" s="82" t="s">
        <v>1097</v>
      </c>
      <c r="F591" s="358" t="s">
        <v>1119</v>
      </c>
      <c r="G591" s="359"/>
      <c r="H591" s="354">
        <v>0.5</v>
      </c>
      <c r="I591" s="355"/>
      <c r="J591" s="79">
        <f>(36.79 + 6*6.15)*H591</f>
        <v>36.844999999999999</v>
      </c>
    </row>
    <row r="592" spans="1:10" x14ac:dyDescent="0.3">
      <c r="A592" s="247"/>
      <c r="B592" s="73"/>
      <c r="C592" s="74"/>
      <c r="D592" s="75" t="s">
        <v>1122</v>
      </c>
      <c r="E592" s="82"/>
      <c r="F592" s="358" t="s">
        <v>1123</v>
      </c>
      <c r="G592" s="359"/>
      <c r="H592" s="354">
        <v>1.2</v>
      </c>
      <c r="I592" s="355"/>
      <c r="J592" s="79">
        <f>(16.1+26.95+16.1+26.95)*H592</f>
        <v>103.32</v>
      </c>
    </row>
    <row r="593" spans="1:10" ht="98.25" customHeight="1" x14ac:dyDescent="0.3">
      <c r="A593" s="251"/>
      <c r="B593" s="90"/>
      <c r="C593" s="91"/>
      <c r="D593" s="86" t="s">
        <v>495</v>
      </c>
      <c r="E593" s="91"/>
      <c r="F593" s="358" t="s">
        <v>874</v>
      </c>
      <c r="G593" s="359"/>
      <c r="H593" s="354">
        <v>3</v>
      </c>
      <c r="I593" s="355"/>
      <c r="J593" s="79">
        <f>(18*3.5+3.5+3.5+3.5+3.5+2.2+1.82+17.39+3.5+5.33+2.3+2+3.35*3+3*3.5+5*3.5+22.05+3.65*3+15.4+1.75+2.36+7.15+2.35+1.6+1.15+7*3.5+27.45+6.5+3.5+3.98*5+3.81)*H593</f>
        <v>900.03</v>
      </c>
    </row>
    <row r="594" spans="1:10" x14ac:dyDescent="0.3">
      <c r="A594" s="247"/>
      <c r="B594" s="73"/>
      <c r="C594" s="74"/>
      <c r="D594" s="75" t="s">
        <v>492</v>
      </c>
      <c r="E594" s="82"/>
      <c r="F594" s="358" t="s">
        <v>661</v>
      </c>
      <c r="G594" s="359"/>
      <c r="H594" s="354">
        <v>2.1</v>
      </c>
      <c r="I594" s="355"/>
      <c r="J594" s="79">
        <f>-(37*0.8+3*1)*H594</f>
        <v>-68.460000000000008</v>
      </c>
    </row>
    <row r="595" spans="1:10" x14ac:dyDescent="0.3">
      <c r="A595" s="247"/>
      <c r="B595" s="73"/>
      <c r="C595" s="74"/>
      <c r="D595" s="75" t="s">
        <v>493</v>
      </c>
      <c r="E595" s="82"/>
      <c r="F595" s="358" t="s">
        <v>509</v>
      </c>
      <c r="G595" s="359"/>
      <c r="H595" s="354">
        <v>0.5</v>
      </c>
      <c r="I595" s="355"/>
      <c r="J595" s="79">
        <f>-3*0.5*0.5</f>
        <v>-0.75</v>
      </c>
    </row>
    <row r="596" spans="1:10" x14ac:dyDescent="0.3">
      <c r="A596" s="247"/>
      <c r="B596" s="73"/>
      <c r="C596" s="74"/>
      <c r="D596" s="75" t="s">
        <v>494</v>
      </c>
      <c r="E596" s="82"/>
      <c r="F596" s="358" t="s">
        <v>510</v>
      </c>
      <c r="G596" s="359"/>
      <c r="H596" s="354">
        <v>1</v>
      </c>
      <c r="I596" s="355"/>
      <c r="J596" s="79">
        <f>-1*2*H596</f>
        <v>-2</v>
      </c>
    </row>
    <row r="597" spans="1:10" x14ac:dyDescent="0.3">
      <c r="A597" s="247"/>
      <c r="B597" s="73"/>
      <c r="C597" s="74"/>
      <c r="D597" s="75" t="s">
        <v>1468</v>
      </c>
      <c r="E597" s="82"/>
      <c r="F597" s="358" t="s">
        <v>1469</v>
      </c>
      <c r="G597" s="359"/>
      <c r="H597" s="354">
        <v>2.8</v>
      </c>
      <c r="I597" s="355"/>
      <c r="J597" s="79">
        <f>(1.1+1.1+3.5)*H597</f>
        <v>15.959999999999999</v>
      </c>
    </row>
    <row r="598" spans="1:10" x14ac:dyDescent="0.3">
      <c r="A598" s="247"/>
      <c r="B598" s="73"/>
      <c r="C598" s="74"/>
      <c r="D598" s="75" t="s">
        <v>1470</v>
      </c>
      <c r="E598" s="82"/>
      <c r="F598" s="358" t="s">
        <v>1471</v>
      </c>
      <c r="G598" s="359"/>
      <c r="H598" s="354">
        <v>2.1</v>
      </c>
      <c r="I598" s="355"/>
      <c r="J598" s="79">
        <f>-0.75*4*H598</f>
        <v>-6.3000000000000007</v>
      </c>
    </row>
    <row r="599" spans="1:10" x14ac:dyDescent="0.3">
      <c r="A599" s="251"/>
      <c r="B599" s="90"/>
      <c r="C599" s="91"/>
      <c r="D599" s="86" t="s">
        <v>496</v>
      </c>
      <c r="E599" s="91"/>
      <c r="F599" s="358" t="s">
        <v>511</v>
      </c>
      <c r="G599" s="359"/>
      <c r="H599" s="354">
        <v>4.7300000000000004</v>
      </c>
      <c r="I599" s="355"/>
      <c r="J599" s="79">
        <f>(32.7*2+2.54*2)*H599</f>
        <v>333.37040000000007</v>
      </c>
    </row>
    <row r="600" spans="1:10" x14ac:dyDescent="0.3">
      <c r="A600" s="247"/>
      <c r="B600" s="73"/>
      <c r="C600" s="74"/>
      <c r="D600" s="75" t="s">
        <v>492</v>
      </c>
      <c r="E600" s="82"/>
      <c r="F600" s="358" t="s">
        <v>512</v>
      </c>
      <c r="G600" s="359"/>
      <c r="H600" s="354">
        <v>2.1</v>
      </c>
      <c r="I600" s="355"/>
      <c r="J600" s="79">
        <f>-18*0.8*H600</f>
        <v>-30.240000000000002</v>
      </c>
    </row>
    <row r="601" spans="1:10" x14ac:dyDescent="0.3">
      <c r="A601" s="247"/>
      <c r="B601" s="73"/>
      <c r="C601" s="74"/>
      <c r="D601" s="75" t="s">
        <v>513</v>
      </c>
      <c r="E601" s="82"/>
      <c r="F601" s="358" t="s">
        <v>514</v>
      </c>
      <c r="G601" s="359"/>
      <c r="H601" s="354">
        <v>0.3</v>
      </c>
      <c r="I601" s="355"/>
      <c r="J601" s="79">
        <f>-32.7*2*H601</f>
        <v>-19.62</v>
      </c>
    </row>
    <row r="602" spans="1:10" x14ac:dyDescent="0.3">
      <c r="A602" s="247"/>
      <c r="B602" s="73"/>
      <c r="C602" s="74"/>
      <c r="D602" s="75" t="s">
        <v>494</v>
      </c>
      <c r="E602" s="82"/>
      <c r="F602" s="358">
        <v>3.5</v>
      </c>
      <c r="G602" s="359"/>
      <c r="H602" s="354">
        <v>3</v>
      </c>
      <c r="I602" s="355"/>
      <c r="J602" s="79">
        <f>-3.5*3</f>
        <v>-10.5</v>
      </c>
    </row>
    <row r="603" spans="1:10" x14ac:dyDescent="0.3">
      <c r="A603" s="251"/>
      <c r="B603" s="90"/>
      <c r="C603" s="91"/>
      <c r="D603" s="86" t="s">
        <v>497</v>
      </c>
      <c r="E603" s="91"/>
      <c r="F603" s="358" t="s">
        <v>499</v>
      </c>
      <c r="G603" s="359"/>
      <c r="H603" s="354">
        <v>4.3</v>
      </c>
      <c r="I603" s="355"/>
      <c r="J603" s="79">
        <f>(12.4*3+32.12*2)*H603</f>
        <v>436.19199999999995</v>
      </c>
    </row>
    <row r="604" spans="1:10" x14ac:dyDescent="0.3">
      <c r="A604" s="251"/>
      <c r="B604" s="90"/>
      <c r="C604" s="91"/>
      <c r="D604" s="86" t="s">
        <v>500</v>
      </c>
      <c r="E604" s="91"/>
      <c r="F604" s="358">
        <v>2.94</v>
      </c>
      <c r="G604" s="359"/>
      <c r="H604" s="354">
        <v>3</v>
      </c>
      <c r="I604" s="355"/>
      <c r="J604" s="79">
        <f>H604*F604</f>
        <v>8.82</v>
      </c>
    </row>
    <row r="605" spans="1:10" x14ac:dyDescent="0.3">
      <c r="A605" s="247"/>
      <c r="B605" s="73"/>
      <c r="C605" s="74"/>
      <c r="D605" s="75" t="s">
        <v>492</v>
      </c>
      <c r="E605" s="82"/>
      <c r="F605" s="358" t="s">
        <v>498</v>
      </c>
      <c r="G605" s="359"/>
      <c r="H605" s="354">
        <v>2.5</v>
      </c>
      <c r="I605" s="355"/>
      <c r="J605" s="79">
        <f>-2*2*2.5</f>
        <v>-10</v>
      </c>
    </row>
    <row r="606" spans="1:10" x14ac:dyDescent="0.3">
      <c r="A606" s="247"/>
      <c r="B606" s="73"/>
      <c r="C606" s="74"/>
      <c r="D606" s="75" t="s">
        <v>492</v>
      </c>
      <c r="E606" s="82"/>
      <c r="F606" s="358" t="s">
        <v>501</v>
      </c>
      <c r="G606" s="359"/>
      <c r="H606" s="354">
        <v>2.1</v>
      </c>
      <c r="I606" s="355"/>
      <c r="J606" s="79">
        <f>-0.8*4*2.1</f>
        <v>-6.7200000000000006</v>
      </c>
    </row>
    <row r="607" spans="1:10" x14ac:dyDescent="0.3">
      <c r="A607" s="247"/>
      <c r="B607" s="73"/>
      <c r="C607" s="74"/>
      <c r="D607" s="75" t="s">
        <v>493</v>
      </c>
      <c r="E607" s="82"/>
      <c r="F607" s="358" t="s">
        <v>502</v>
      </c>
      <c r="G607" s="359"/>
      <c r="H607" s="354">
        <v>0.5</v>
      </c>
      <c r="I607" s="355"/>
      <c r="J607" s="79">
        <f>-3*10*0.5</f>
        <v>-15</v>
      </c>
    </row>
    <row r="608" spans="1:10" x14ac:dyDescent="0.3">
      <c r="A608" s="247"/>
      <c r="B608" s="73"/>
      <c r="C608" s="74"/>
      <c r="D608" s="75" t="s">
        <v>493</v>
      </c>
      <c r="E608" s="82"/>
      <c r="F608" s="358" t="s">
        <v>503</v>
      </c>
      <c r="G608" s="359"/>
      <c r="H608" s="354">
        <v>0.5</v>
      </c>
      <c r="I608" s="355"/>
      <c r="J608" s="79">
        <f>-1.6*2*0.5</f>
        <v>-1.6</v>
      </c>
    </row>
    <row r="609" spans="1:10" ht="15" thickBot="1" x14ac:dyDescent="0.35">
      <c r="A609" s="364" t="s">
        <v>64</v>
      </c>
      <c r="B609" s="365"/>
      <c r="C609" s="365"/>
      <c r="D609" s="365"/>
      <c r="E609" s="365"/>
      <c r="F609" s="365"/>
      <c r="G609" s="365"/>
      <c r="H609" s="365"/>
      <c r="I609" s="366"/>
      <c r="J609" s="275">
        <f>SUM(J580:J608)</f>
        <v>2925.907400000001</v>
      </c>
    </row>
    <row r="610" spans="1:10" x14ac:dyDescent="0.3">
      <c r="A610" s="247" t="str">
        <f>ORÇAMENTO!A365</f>
        <v>9.2</v>
      </c>
      <c r="B610" s="73" t="str">
        <f>ORÇAMENTO!B365</f>
        <v>GOINFRA</v>
      </c>
      <c r="C610" s="74">
        <f>ORÇAMENTO!C365</f>
        <v>100320</v>
      </c>
      <c r="D610" s="75" t="str">
        <f>ORÇAMENTO!D365</f>
        <v xml:space="preserve">DIVISORIA DE GRANITO POLIDO </v>
      </c>
      <c r="E610" s="74" t="str">
        <f>ORÇAMENTO!F365</f>
        <v xml:space="preserve">m2 </v>
      </c>
      <c r="F610" s="377" t="s">
        <v>101</v>
      </c>
      <c r="G610" s="378"/>
      <c r="H610" s="371" t="s">
        <v>118</v>
      </c>
      <c r="I610" s="373"/>
      <c r="J610" s="79" t="s">
        <v>86</v>
      </c>
    </row>
    <row r="611" spans="1:10" x14ac:dyDescent="0.3">
      <c r="A611" s="247"/>
      <c r="B611" s="73"/>
      <c r="C611" s="74"/>
      <c r="D611" s="75" t="s">
        <v>516</v>
      </c>
      <c r="E611" s="82"/>
      <c r="F611" s="358" t="s">
        <v>558</v>
      </c>
      <c r="G611" s="359"/>
      <c r="H611" s="354">
        <v>2</v>
      </c>
      <c r="I611" s="355"/>
      <c r="J611" s="76">
        <f>(3.98+8.42+2.82+1.88)*H611</f>
        <v>34.200000000000003</v>
      </c>
    </row>
    <row r="612" spans="1:10" x14ac:dyDescent="0.3">
      <c r="A612" s="247"/>
      <c r="B612" s="73"/>
      <c r="C612" s="74"/>
      <c r="D612" s="75" t="s">
        <v>516</v>
      </c>
      <c r="E612" s="82"/>
      <c r="F612" s="358" t="s">
        <v>559</v>
      </c>
      <c r="G612" s="359"/>
      <c r="H612" s="354">
        <v>1.8</v>
      </c>
      <c r="I612" s="355"/>
      <c r="J612" s="76">
        <f>13*1.35*H612</f>
        <v>31.590000000000003</v>
      </c>
    </row>
    <row r="613" spans="1:10" x14ac:dyDescent="0.3">
      <c r="A613" s="247"/>
      <c r="B613" s="73"/>
      <c r="C613" s="74"/>
      <c r="D613" s="75" t="s">
        <v>517</v>
      </c>
      <c r="E613" s="82"/>
      <c r="F613" s="358" t="s">
        <v>518</v>
      </c>
      <c r="G613" s="359"/>
      <c r="H613" s="354">
        <v>2</v>
      </c>
      <c r="I613" s="355"/>
      <c r="J613" s="76">
        <f>-(0.9+14*0.7)*H613</f>
        <v>-21.4</v>
      </c>
    </row>
    <row r="614" spans="1:10" x14ac:dyDescent="0.3">
      <c r="A614" s="251"/>
      <c r="B614" s="90"/>
      <c r="C614" s="91"/>
      <c r="D614" s="75" t="s">
        <v>519</v>
      </c>
      <c r="E614" s="82"/>
      <c r="F614" s="358" t="s">
        <v>560</v>
      </c>
      <c r="G614" s="359"/>
      <c r="H614" s="354">
        <v>2</v>
      </c>
      <c r="I614" s="355"/>
      <c r="J614" s="76">
        <f>(3.98+2.82+2.82)*H614</f>
        <v>19.239999999999998</v>
      </c>
    </row>
    <row r="615" spans="1:10" x14ac:dyDescent="0.3">
      <c r="A615" s="251"/>
      <c r="B615" s="90"/>
      <c r="C615" s="91"/>
      <c r="D615" s="75" t="s">
        <v>519</v>
      </c>
      <c r="E615" s="82"/>
      <c r="F615" s="358" t="s">
        <v>561</v>
      </c>
      <c r="G615" s="359"/>
      <c r="H615" s="354">
        <v>1.8</v>
      </c>
      <c r="I615" s="355"/>
      <c r="J615" s="76">
        <f>6*1.35*H615</f>
        <v>14.580000000000004</v>
      </c>
    </row>
    <row r="616" spans="1:10" x14ac:dyDescent="0.3">
      <c r="A616" s="247"/>
      <c r="B616" s="73"/>
      <c r="C616" s="74"/>
      <c r="D616" s="75" t="s">
        <v>517</v>
      </c>
      <c r="E616" s="82"/>
      <c r="F616" s="358" t="s">
        <v>520</v>
      </c>
      <c r="G616" s="359"/>
      <c r="H616" s="354">
        <v>2</v>
      </c>
      <c r="I616" s="355"/>
      <c r="J616" s="76">
        <f>-(6*0.7+1*0.9)*H616</f>
        <v>-10.199999999999999</v>
      </c>
    </row>
    <row r="617" spans="1:10" x14ac:dyDescent="0.3">
      <c r="A617" s="247"/>
      <c r="B617" s="73"/>
      <c r="C617" s="74"/>
      <c r="D617" s="75" t="s">
        <v>96</v>
      </c>
      <c r="E617" s="82"/>
      <c r="F617" s="358" t="s">
        <v>562</v>
      </c>
      <c r="G617" s="359"/>
      <c r="H617" s="354">
        <v>2</v>
      </c>
      <c r="I617" s="355"/>
      <c r="J617" s="76">
        <f>(2.94+3.42+3*1.3+2.94+3.42+3*1.3)*H617</f>
        <v>41.039999999999992</v>
      </c>
    </row>
    <row r="618" spans="1:10" x14ac:dyDescent="0.3">
      <c r="A618" s="247"/>
      <c r="B618" s="73"/>
      <c r="C618" s="74"/>
      <c r="D618" s="75" t="s">
        <v>96</v>
      </c>
      <c r="E618" s="82"/>
      <c r="F618" s="358" t="s">
        <v>563</v>
      </c>
      <c r="G618" s="359"/>
      <c r="H618" s="354">
        <v>1.8</v>
      </c>
      <c r="I618" s="355"/>
      <c r="J618" s="76">
        <f>6*1.3*H618</f>
        <v>14.040000000000001</v>
      </c>
    </row>
    <row r="619" spans="1:10" x14ac:dyDescent="0.3">
      <c r="A619" s="247"/>
      <c r="B619" s="73"/>
      <c r="C619" s="74"/>
      <c r="D619" s="75" t="s">
        <v>96</v>
      </c>
      <c r="E619" s="82"/>
      <c r="F619" s="358" t="s">
        <v>521</v>
      </c>
      <c r="G619" s="359"/>
      <c r="H619" s="354">
        <v>1</v>
      </c>
      <c r="I619" s="355"/>
      <c r="J619" s="76">
        <f>(0.52*3)*H619</f>
        <v>1.56</v>
      </c>
    </row>
    <row r="620" spans="1:10" x14ac:dyDescent="0.3">
      <c r="A620" s="251"/>
      <c r="B620" s="90"/>
      <c r="C620" s="91"/>
      <c r="D620" s="75" t="s">
        <v>517</v>
      </c>
      <c r="E620" s="82"/>
      <c r="F620" s="358" t="s">
        <v>522</v>
      </c>
      <c r="G620" s="359"/>
      <c r="H620" s="354">
        <v>2</v>
      </c>
      <c r="I620" s="355"/>
      <c r="J620" s="76">
        <f>-(2*0.9+6*0.7)*H620</f>
        <v>-11.999999999999998</v>
      </c>
    </row>
    <row r="621" spans="1:10" ht="15" thickBot="1" x14ac:dyDescent="0.35">
      <c r="A621" s="364" t="s">
        <v>64</v>
      </c>
      <c r="B621" s="365"/>
      <c r="C621" s="365"/>
      <c r="D621" s="365"/>
      <c r="E621" s="365"/>
      <c r="F621" s="365"/>
      <c r="G621" s="365"/>
      <c r="H621" s="365"/>
      <c r="I621" s="366"/>
      <c r="J621" s="275">
        <f>SUM(J611:J620)</f>
        <v>112.65</v>
      </c>
    </row>
    <row r="622" spans="1:10" x14ac:dyDescent="0.3">
      <c r="A622" s="247" t="str">
        <f>ORÇAMENTO!A366</f>
        <v>9.3</v>
      </c>
      <c r="B622" s="73" t="str">
        <f>ORÇAMENTO!B366</f>
        <v>GOINFRA</v>
      </c>
      <c r="C622" s="74">
        <f>ORÇAMENTO!C366</f>
        <v>100501</v>
      </c>
      <c r="D622" s="75" t="str">
        <f>ORÇAMENTO!D366</f>
        <v xml:space="preserve">ELEMENTO VAZADO DE CONCRETO </v>
      </c>
      <c r="E622" s="74" t="str">
        <f>ORÇAMENTO!F366</f>
        <v xml:space="preserve">m2 </v>
      </c>
      <c r="F622" s="377" t="s">
        <v>101</v>
      </c>
      <c r="G622" s="378"/>
      <c r="H622" s="371" t="s">
        <v>118</v>
      </c>
      <c r="I622" s="373"/>
      <c r="J622" s="79" t="s">
        <v>86</v>
      </c>
    </row>
    <row r="623" spans="1:10" x14ac:dyDescent="0.3">
      <c r="A623" s="247"/>
      <c r="B623" s="73"/>
      <c r="C623" s="74"/>
      <c r="D623" s="75" t="s">
        <v>515</v>
      </c>
      <c r="E623" s="82"/>
      <c r="F623" s="358" t="s">
        <v>514</v>
      </c>
      <c r="G623" s="359"/>
      <c r="H623" s="354">
        <v>0.3</v>
      </c>
      <c r="I623" s="355"/>
      <c r="J623" s="79">
        <f>32.7*2*H623</f>
        <v>19.62</v>
      </c>
    </row>
    <row r="624" spans="1:10" ht="15" thickBot="1" x14ac:dyDescent="0.35">
      <c r="A624" s="364" t="s">
        <v>64</v>
      </c>
      <c r="B624" s="365"/>
      <c r="C624" s="365"/>
      <c r="D624" s="365"/>
      <c r="E624" s="365"/>
      <c r="F624" s="365"/>
      <c r="G624" s="365"/>
      <c r="H624" s="365"/>
      <c r="I624" s="366"/>
      <c r="J624" s="275">
        <f>J623</f>
        <v>19.62</v>
      </c>
    </row>
    <row r="625" spans="1:10" ht="15" thickBot="1" x14ac:dyDescent="0.35">
      <c r="A625" s="415" t="s">
        <v>36</v>
      </c>
      <c r="B625" s="416"/>
      <c r="C625" s="416"/>
      <c r="D625" s="416"/>
      <c r="E625" s="416"/>
      <c r="F625" s="416"/>
      <c r="G625" s="416"/>
      <c r="H625" s="416"/>
      <c r="I625" s="416"/>
      <c r="J625" s="417"/>
    </row>
    <row r="626" spans="1:10" ht="15" thickBot="1" x14ac:dyDescent="0.35">
      <c r="A626" s="252" t="s">
        <v>638</v>
      </c>
      <c r="B626" s="227" t="s">
        <v>10</v>
      </c>
      <c r="C626" s="228">
        <v>120000</v>
      </c>
      <c r="D626" s="263" t="s">
        <v>37</v>
      </c>
      <c r="E626" s="229"/>
      <c r="F626" s="232"/>
      <c r="G626" s="232"/>
      <c r="H626" s="229"/>
      <c r="I626" s="229"/>
      <c r="J626" s="96"/>
    </row>
    <row r="627" spans="1:10" x14ac:dyDescent="0.3">
      <c r="A627" s="253" t="str">
        <f>ORÇAMENTO!A370</f>
        <v>10.1</v>
      </c>
      <c r="B627" s="224" t="str">
        <f>ORÇAMENTO!B370</f>
        <v>GOINFRA</v>
      </c>
      <c r="C627" s="225">
        <f>ORÇAMENTO!C370</f>
        <v>120209</v>
      </c>
      <c r="D627" s="226" t="str">
        <f>ORÇAMENTO!D370</f>
        <v xml:space="preserve">IMPERMEABILIZACAO-C/CIMENTO CRISTALIZANTE 3 DEMAOS </v>
      </c>
      <c r="E627" s="225" t="str">
        <f>ORÇAMENTO!F370</f>
        <v xml:space="preserve">m2 </v>
      </c>
      <c r="F627" s="444" t="s">
        <v>555</v>
      </c>
      <c r="G627" s="445"/>
      <c r="H627" s="394" t="s">
        <v>101</v>
      </c>
      <c r="I627" s="432"/>
      <c r="J627" s="79" t="s">
        <v>86</v>
      </c>
    </row>
    <row r="628" spans="1:10" x14ac:dyDescent="0.3">
      <c r="A628" s="247"/>
      <c r="B628" s="73"/>
      <c r="C628" s="74"/>
      <c r="D628" s="75" t="s">
        <v>603</v>
      </c>
      <c r="E628" s="82"/>
      <c r="F628" s="358">
        <v>24.98</v>
      </c>
      <c r="G628" s="359"/>
      <c r="H628" s="354">
        <v>12.37</v>
      </c>
      <c r="I628" s="355"/>
      <c r="J628" s="79">
        <f>F628*H628</f>
        <v>309.00259999999997</v>
      </c>
    </row>
    <row r="629" spans="1:10" x14ac:dyDescent="0.3">
      <c r="A629" s="247"/>
      <c r="B629" s="73"/>
      <c r="C629" s="74"/>
      <c r="D629" s="75" t="s">
        <v>604</v>
      </c>
      <c r="E629" s="82"/>
      <c r="F629" s="358" t="s">
        <v>615</v>
      </c>
      <c r="G629" s="359"/>
      <c r="H629" s="354">
        <v>1.25</v>
      </c>
      <c r="I629" s="355"/>
      <c r="J629" s="79">
        <f>(24.98*2+12.37*2)*H629</f>
        <v>93.375</v>
      </c>
    </row>
    <row r="630" spans="1:10" x14ac:dyDescent="0.3">
      <c r="A630" s="248"/>
      <c r="B630" s="83"/>
      <c r="C630" s="84"/>
      <c r="D630" s="85" t="s">
        <v>1116</v>
      </c>
      <c r="E630" s="84"/>
      <c r="F630" s="354">
        <v>13.55</v>
      </c>
      <c r="G630" s="369"/>
      <c r="H630" s="369"/>
      <c r="I630" s="355"/>
      <c r="J630" s="80">
        <f>F630</f>
        <v>13.55</v>
      </c>
    </row>
    <row r="631" spans="1:10" x14ac:dyDescent="0.3">
      <c r="A631" s="248"/>
      <c r="B631" s="83"/>
      <c r="C631" s="84"/>
      <c r="D631" s="85" t="s">
        <v>1468</v>
      </c>
      <c r="E631" s="84"/>
      <c r="F631" s="354">
        <f>3.5*1.1</f>
        <v>3.8500000000000005</v>
      </c>
      <c r="G631" s="369"/>
      <c r="H631" s="369"/>
      <c r="I631" s="355"/>
      <c r="J631" s="80">
        <f>F631</f>
        <v>3.8500000000000005</v>
      </c>
    </row>
    <row r="632" spans="1:10" ht="15" thickBot="1" x14ac:dyDescent="0.35">
      <c r="A632" s="364" t="s">
        <v>64</v>
      </c>
      <c r="B632" s="365"/>
      <c r="C632" s="365"/>
      <c r="D632" s="365"/>
      <c r="E632" s="365"/>
      <c r="F632" s="365"/>
      <c r="G632" s="365"/>
      <c r="H632" s="365"/>
      <c r="I632" s="366"/>
      <c r="J632" s="275">
        <f>SUM(J628:J631)</f>
        <v>419.77760000000001</v>
      </c>
    </row>
    <row r="633" spans="1:10" x14ac:dyDescent="0.3">
      <c r="A633" s="247" t="str">
        <f>ORÇAMENTO!A371</f>
        <v>10.2</v>
      </c>
      <c r="B633" s="73" t="str">
        <f>ORÇAMENTO!B371</f>
        <v>GOINFRA</v>
      </c>
      <c r="C633" s="74">
        <f>ORÇAMENTO!C371</f>
        <v>120902</v>
      </c>
      <c r="D633" s="75" t="str">
        <f>ORÇAMENTO!D371</f>
        <v xml:space="preserve">IMPERMEABILIZACAO VIGAS BALDRAMES E=2,0 CM </v>
      </c>
      <c r="E633" s="74" t="str">
        <f>ORÇAMENTO!F371</f>
        <v xml:space="preserve">m2 </v>
      </c>
      <c r="F633" s="88" t="s">
        <v>89</v>
      </c>
      <c r="G633" s="88" t="s">
        <v>555</v>
      </c>
      <c r="H633" s="371" t="s">
        <v>115</v>
      </c>
      <c r="I633" s="373"/>
      <c r="J633" s="79" t="s">
        <v>86</v>
      </c>
    </row>
    <row r="634" spans="1:10" ht="96" customHeight="1" x14ac:dyDescent="0.3">
      <c r="A634" s="247"/>
      <c r="B634" s="73"/>
      <c r="C634" s="74"/>
      <c r="D634" s="75" t="s">
        <v>602</v>
      </c>
      <c r="E634" s="82"/>
      <c r="F634" s="88">
        <v>1</v>
      </c>
      <c r="G634" s="88">
        <v>0.14000000000000001</v>
      </c>
      <c r="H634" s="358" t="s">
        <v>116</v>
      </c>
      <c r="I634" s="359"/>
      <c r="J634" s="79">
        <f>(346.06+77.06+29.2+32.95+32.8+44.57+3.65+(5*4.28)+4.11+(8*3.8)+(17*3.8)+4.35+10.15+7.4+7.4+7.3+5.52+3.8+3.8+3.65+3.8+2.15+3.65+3.8+6.59+(4*3.8)+5.7+3.8+(3*2.66)+(3*2.05)+88.99+12.39+3.22+8+5)*G634*F634</f>
        <v>128.32259999999997</v>
      </c>
    </row>
    <row r="635" spans="1:10" ht="85.5" customHeight="1" x14ac:dyDescent="0.3">
      <c r="A635" s="247"/>
      <c r="B635" s="73"/>
      <c r="C635" s="74"/>
      <c r="D635" s="75" t="s">
        <v>602</v>
      </c>
      <c r="E635" s="82"/>
      <c r="F635" s="88">
        <v>2</v>
      </c>
      <c r="G635" s="88">
        <v>0.4</v>
      </c>
      <c r="H635" s="358" t="s">
        <v>116</v>
      </c>
      <c r="I635" s="359"/>
      <c r="J635" s="79">
        <f>(346.06+77.06+29.2+32.95+32.8+44.57+3.65+(5*4.28)+4.11+(8*3.8)+(17*3.8)+4.35+10.15+7.4+7.4+7.3+5.52+3.8+3.8+3.65+3.8+2.15+3.65+3.8+6.59+(4*3.8)+5.7+3.8+(3*2.66)+(3*2.05)+88.99+12.39+3.22+8+5)*G635*F635</f>
        <v>733.27199999999982</v>
      </c>
    </row>
    <row r="636" spans="1:10" ht="15" thickBot="1" x14ac:dyDescent="0.35">
      <c r="A636" s="364" t="s">
        <v>64</v>
      </c>
      <c r="B636" s="365"/>
      <c r="C636" s="365"/>
      <c r="D636" s="365"/>
      <c r="E636" s="365"/>
      <c r="F636" s="365"/>
      <c r="G636" s="365"/>
      <c r="H636" s="365"/>
      <c r="I636" s="366"/>
      <c r="J636" s="275">
        <f>SUM(J634:J635)</f>
        <v>861.59459999999979</v>
      </c>
    </row>
    <row r="637" spans="1:10" x14ac:dyDescent="0.3">
      <c r="A637" s="247" t="str">
        <f>ORÇAMENTO!A372</f>
        <v>10.3</v>
      </c>
      <c r="B637" s="73" t="str">
        <f>ORÇAMENTO!B372</f>
        <v>GOINFRA</v>
      </c>
      <c r="C637" s="74">
        <f>ORÇAMENTO!C372</f>
        <v>121001</v>
      </c>
      <c r="D637" s="75" t="str">
        <f>ORÇAMENTO!D372</f>
        <v xml:space="preserve">IMPERMEABILIZAÇÃO-REBAIXO BANHEIRO COM 4 DEMÃOS DE EMULSÃO ASFÁLTICA </v>
      </c>
      <c r="E637" s="74" t="str">
        <f>ORÇAMENTO!F372</f>
        <v xml:space="preserve">m2 </v>
      </c>
      <c r="F637" s="371" t="s">
        <v>88</v>
      </c>
      <c r="G637" s="372"/>
      <c r="H637" s="372"/>
      <c r="I637" s="373"/>
      <c r="J637" s="79" t="s">
        <v>86</v>
      </c>
    </row>
    <row r="638" spans="1:10" x14ac:dyDescent="0.3">
      <c r="A638" s="247"/>
      <c r="B638" s="73"/>
      <c r="C638" s="74"/>
      <c r="D638" s="75" t="s">
        <v>516</v>
      </c>
      <c r="E638" s="82"/>
      <c r="F638" s="354">
        <v>39.159999999999997</v>
      </c>
      <c r="G638" s="369"/>
      <c r="H638" s="369"/>
      <c r="I638" s="355"/>
      <c r="J638" s="79">
        <f>F638</f>
        <v>39.159999999999997</v>
      </c>
    </row>
    <row r="639" spans="1:10" x14ac:dyDescent="0.3">
      <c r="A639" s="247"/>
      <c r="B639" s="73"/>
      <c r="C639" s="74"/>
      <c r="D639" s="75" t="s">
        <v>625</v>
      </c>
      <c r="E639" s="82"/>
      <c r="F639" s="354">
        <v>3.68</v>
      </c>
      <c r="G639" s="369"/>
      <c r="H639" s="369"/>
      <c r="I639" s="355"/>
      <c r="J639" s="79">
        <f t="shared" ref="J639:J659" si="3">F639</f>
        <v>3.68</v>
      </c>
    </row>
    <row r="640" spans="1:10" x14ac:dyDescent="0.3">
      <c r="A640" s="247"/>
      <c r="B640" s="73"/>
      <c r="C640" s="74"/>
      <c r="D640" s="75" t="s">
        <v>616</v>
      </c>
      <c r="E640" s="82"/>
      <c r="F640" s="354">
        <v>12.25</v>
      </c>
      <c r="G640" s="369"/>
      <c r="H640" s="369"/>
      <c r="I640" s="355"/>
      <c r="J640" s="79">
        <f t="shared" si="3"/>
        <v>12.25</v>
      </c>
    </row>
    <row r="641" spans="1:10" x14ac:dyDescent="0.3">
      <c r="A641" s="247"/>
      <c r="B641" s="73"/>
      <c r="C641" s="74"/>
      <c r="D641" s="75" t="s">
        <v>617</v>
      </c>
      <c r="E641" s="82"/>
      <c r="F641" s="354">
        <v>3.35</v>
      </c>
      <c r="G641" s="369"/>
      <c r="H641" s="369"/>
      <c r="I641" s="355"/>
      <c r="J641" s="79">
        <f t="shared" si="3"/>
        <v>3.35</v>
      </c>
    </row>
    <row r="642" spans="1:10" x14ac:dyDescent="0.3">
      <c r="A642" s="247"/>
      <c r="B642" s="73"/>
      <c r="C642" s="74"/>
      <c r="D642" s="75" t="s">
        <v>618</v>
      </c>
      <c r="E642" s="82"/>
      <c r="F642" s="354">
        <v>3.35</v>
      </c>
      <c r="G642" s="369"/>
      <c r="H642" s="369"/>
      <c r="I642" s="355"/>
      <c r="J642" s="79">
        <f t="shared" si="3"/>
        <v>3.35</v>
      </c>
    </row>
    <row r="643" spans="1:10" x14ac:dyDescent="0.3">
      <c r="A643" s="247"/>
      <c r="B643" s="73"/>
      <c r="C643" s="74"/>
      <c r="D643" s="75" t="s">
        <v>619</v>
      </c>
      <c r="E643" s="82"/>
      <c r="F643" s="354">
        <v>5.86</v>
      </c>
      <c r="G643" s="369"/>
      <c r="H643" s="369"/>
      <c r="I643" s="355"/>
      <c r="J643" s="79">
        <f t="shared" si="3"/>
        <v>5.86</v>
      </c>
    </row>
    <row r="644" spans="1:10" x14ac:dyDescent="0.3">
      <c r="A644" s="251"/>
      <c r="B644" s="90"/>
      <c r="C644" s="91"/>
      <c r="D644" s="86" t="s">
        <v>720</v>
      </c>
      <c r="E644" s="91"/>
      <c r="F644" s="354">
        <v>4.25</v>
      </c>
      <c r="G644" s="369"/>
      <c r="H644" s="369"/>
      <c r="I644" s="355"/>
      <c r="J644" s="79">
        <f t="shared" si="3"/>
        <v>4.25</v>
      </c>
    </row>
    <row r="645" spans="1:10" x14ac:dyDescent="0.3">
      <c r="A645" s="247"/>
      <c r="B645" s="73"/>
      <c r="C645" s="74"/>
      <c r="D645" s="75" t="s">
        <v>620</v>
      </c>
      <c r="E645" s="82"/>
      <c r="F645" s="354">
        <v>3.2</v>
      </c>
      <c r="G645" s="369"/>
      <c r="H645" s="369"/>
      <c r="I645" s="355"/>
      <c r="J645" s="79">
        <f t="shared" si="3"/>
        <v>3.2</v>
      </c>
    </row>
    <row r="646" spans="1:10" x14ac:dyDescent="0.3">
      <c r="A646" s="251"/>
      <c r="B646" s="90"/>
      <c r="C646" s="91"/>
      <c r="D646" s="86" t="s">
        <v>621</v>
      </c>
      <c r="E646" s="91"/>
      <c r="F646" s="354">
        <v>3.2</v>
      </c>
      <c r="G646" s="369"/>
      <c r="H646" s="369"/>
      <c r="I646" s="355"/>
      <c r="J646" s="79">
        <f t="shared" si="3"/>
        <v>3.2</v>
      </c>
    </row>
    <row r="647" spans="1:10" x14ac:dyDescent="0.3">
      <c r="A647" s="247"/>
      <c r="B647" s="73"/>
      <c r="C647" s="74"/>
      <c r="D647" s="75" t="s">
        <v>622</v>
      </c>
      <c r="E647" s="82"/>
      <c r="F647" s="354">
        <v>3.18</v>
      </c>
      <c r="G647" s="369"/>
      <c r="H647" s="369"/>
      <c r="I647" s="355"/>
      <c r="J647" s="79">
        <f t="shared" si="3"/>
        <v>3.18</v>
      </c>
    </row>
    <row r="648" spans="1:10" x14ac:dyDescent="0.3">
      <c r="A648" s="251"/>
      <c r="B648" s="90"/>
      <c r="C648" s="91"/>
      <c r="D648" s="86" t="s">
        <v>623</v>
      </c>
      <c r="E648" s="91"/>
      <c r="F648" s="354">
        <v>3.18</v>
      </c>
      <c r="G648" s="369"/>
      <c r="H648" s="369"/>
      <c r="I648" s="355"/>
      <c r="J648" s="79">
        <f t="shared" si="3"/>
        <v>3.18</v>
      </c>
    </row>
    <row r="649" spans="1:10" x14ac:dyDescent="0.3">
      <c r="A649" s="247"/>
      <c r="B649" s="73"/>
      <c r="C649" s="74"/>
      <c r="D649" s="75" t="s">
        <v>624</v>
      </c>
      <c r="E649" s="82"/>
      <c r="F649" s="354">
        <v>3.4</v>
      </c>
      <c r="G649" s="369"/>
      <c r="H649" s="369"/>
      <c r="I649" s="355"/>
      <c r="J649" s="79">
        <f t="shared" si="3"/>
        <v>3.4</v>
      </c>
    </row>
    <row r="650" spans="1:10" x14ac:dyDescent="0.3">
      <c r="A650" s="251"/>
      <c r="B650" s="90"/>
      <c r="C650" s="91"/>
      <c r="D650" s="86" t="s">
        <v>626</v>
      </c>
      <c r="E650" s="91"/>
      <c r="F650" s="354">
        <v>25.89</v>
      </c>
      <c r="G650" s="369"/>
      <c r="H650" s="369"/>
      <c r="I650" s="355"/>
      <c r="J650" s="79">
        <f t="shared" si="3"/>
        <v>25.89</v>
      </c>
    </row>
    <row r="651" spans="1:10" x14ac:dyDescent="0.3">
      <c r="A651" s="247"/>
      <c r="B651" s="73"/>
      <c r="C651" s="74"/>
      <c r="D651" s="75" t="s">
        <v>627</v>
      </c>
      <c r="E651" s="82"/>
      <c r="F651" s="354">
        <v>6.7</v>
      </c>
      <c r="G651" s="369"/>
      <c r="H651" s="369"/>
      <c r="I651" s="355"/>
      <c r="J651" s="79">
        <f t="shared" si="3"/>
        <v>6.7</v>
      </c>
    </row>
    <row r="652" spans="1:10" x14ac:dyDescent="0.3">
      <c r="A652" s="251"/>
      <c r="B652" s="90"/>
      <c r="C652" s="91"/>
      <c r="D652" s="86" t="s">
        <v>628</v>
      </c>
      <c r="E652" s="91"/>
      <c r="F652" s="354">
        <v>21.53</v>
      </c>
      <c r="G652" s="369"/>
      <c r="H652" s="369"/>
      <c r="I652" s="355"/>
      <c r="J652" s="79">
        <f t="shared" si="3"/>
        <v>21.53</v>
      </c>
    </row>
    <row r="653" spans="1:10" x14ac:dyDescent="0.3">
      <c r="A653" s="247"/>
      <c r="B653" s="73"/>
      <c r="C653" s="74"/>
      <c r="D653" s="75" t="s">
        <v>629</v>
      </c>
      <c r="E653" s="82"/>
      <c r="F653" s="354">
        <v>3.5</v>
      </c>
      <c r="G653" s="369"/>
      <c r="H653" s="369"/>
      <c r="I653" s="355"/>
      <c r="J653" s="79">
        <f t="shared" si="3"/>
        <v>3.5</v>
      </c>
    </row>
    <row r="654" spans="1:10" x14ac:dyDescent="0.3">
      <c r="A654" s="251"/>
      <c r="B654" s="90"/>
      <c r="C654" s="91"/>
      <c r="D654" s="86" t="s">
        <v>630</v>
      </c>
      <c r="E654" s="91"/>
      <c r="F654" s="354">
        <v>3.5</v>
      </c>
      <c r="G654" s="369"/>
      <c r="H654" s="369"/>
      <c r="I654" s="355"/>
      <c r="J654" s="79">
        <f t="shared" si="3"/>
        <v>3.5</v>
      </c>
    </row>
    <row r="655" spans="1:10" x14ac:dyDescent="0.3">
      <c r="A655" s="247"/>
      <c r="B655" s="73"/>
      <c r="C655" s="74"/>
      <c r="D655" s="75" t="s">
        <v>631</v>
      </c>
      <c r="E655" s="82"/>
      <c r="F655" s="354">
        <v>3.5</v>
      </c>
      <c r="G655" s="369"/>
      <c r="H655" s="369"/>
      <c r="I655" s="355"/>
      <c r="J655" s="79">
        <f t="shared" si="3"/>
        <v>3.5</v>
      </c>
    </row>
    <row r="656" spans="1:10" x14ac:dyDescent="0.3">
      <c r="A656" s="251"/>
      <c r="B656" s="90"/>
      <c r="C656" s="91"/>
      <c r="D656" s="86" t="s">
        <v>632</v>
      </c>
      <c r="E656" s="91"/>
      <c r="F656" s="354">
        <v>3.5</v>
      </c>
      <c r="G656" s="369"/>
      <c r="H656" s="369"/>
      <c r="I656" s="355"/>
      <c r="J656" s="79">
        <f t="shared" si="3"/>
        <v>3.5</v>
      </c>
    </row>
    <row r="657" spans="1:10" x14ac:dyDescent="0.3">
      <c r="A657" s="247"/>
      <c r="B657" s="73"/>
      <c r="C657" s="74"/>
      <c r="D657" s="75" t="s">
        <v>633</v>
      </c>
      <c r="E657" s="82"/>
      <c r="F657" s="354">
        <v>7.7</v>
      </c>
      <c r="G657" s="369"/>
      <c r="H657" s="369"/>
      <c r="I657" s="355"/>
      <c r="J657" s="79">
        <f t="shared" si="3"/>
        <v>7.7</v>
      </c>
    </row>
    <row r="658" spans="1:10" s="52" customFormat="1" x14ac:dyDescent="0.3">
      <c r="A658" s="254"/>
      <c r="B658" s="97"/>
      <c r="C658" s="98"/>
      <c r="D658" s="99" t="s">
        <v>634</v>
      </c>
      <c r="E658" s="98"/>
      <c r="F658" s="388">
        <v>17.57</v>
      </c>
      <c r="G658" s="389"/>
      <c r="H658" s="389"/>
      <c r="I658" s="390"/>
      <c r="J658" s="100">
        <f t="shared" si="3"/>
        <v>17.57</v>
      </c>
    </row>
    <row r="659" spans="1:10" s="52" customFormat="1" x14ac:dyDescent="0.3">
      <c r="A659" s="255"/>
      <c r="B659" s="101"/>
      <c r="C659" s="102"/>
      <c r="D659" s="103" t="s">
        <v>635</v>
      </c>
      <c r="E659" s="104"/>
      <c r="F659" s="388">
        <v>17.57</v>
      </c>
      <c r="G659" s="389"/>
      <c r="H659" s="389"/>
      <c r="I659" s="390"/>
      <c r="J659" s="100">
        <f t="shared" si="3"/>
        <v>17.57</v>
      </c>
    </row>
    <row r="660" spans="1:10" x14ac:dyDescent="0.3">
      <c r="A660" s="247"/>
      <c r="B660" s="73"/>
      <c r="C660" s="74"/>
      <c r="D660" s="75" t="s">
        <v>1454</v>
      </c>
      <c r="E660" s="213"/>
      <c r="F660" s="358">
        <f>2.5*2</f>
        <v>5</v>
      </c>
      <c r="G660" s="387"/>
      <c r="H660" s="387"/>
      <c r="I660" s="359"/>
      <c r="J660" s="212">
        <f>F660</f>
        <v>5</v>
      </c>
    </row>
    <row r="661" spans="1:10" ht="15" thickBot="1" x14ac:dyDescent="0.35">
      <c r="A661" s="364" t="s">
        <v>64</v>
      </c>
      <c r="B661" s="365"/>
      <c r="C661" s="365"/>
      <c r="D661" s="365"/>
      <c r="E661" s="365"/>
      <c r="F661" s="365"/>
      <c r="G661" s="365"/>
      <c r="H661" s="365"/>
      <c r="I661" s="366"/>
      <c r="J661" s="275">
        <f>SUM(J638:J660)</f>
        <v>204.02</v>
      </c>
    </row>
    <row r="662" spans="1:10" x14ac:dyDescent="0.3">
      <c r="A662" s="247" t="str">
        <f>ORÇAMENTO!A373</f>
        <v>10.4</v>
      </c>
      <c r="B662" s="74" t="str">
        <f>ORÇAMENTO!B373</f>
        <v>GOINFRA</v>
      </c>
      <c r="C662" s="74">
        <f>ORÇAMENTO!C373</f>
        <v>121101</v>
      </c>
      <c r="D662" s="75" t="str">
        <f>ORÇAMENTO!D373</f>
        <v>IMPERMEABILIZAÇÃO MURO DE ARRIMO COM 4 DEMÃOS DE EMULSÃO ASFÁLTICA</v>
      </c>
      <c r="E662" s="74" t="str">
        <f>ORÇAMENTO!F373</f>
        <v xml:space="preserve"> m2 </v>
      </c>
      <c r="F662" s="377" t="s">
        <v>115</v>
      </c>
      <c r="G662" s="378"/>
      <c r="H662" s="371" t="s">
        <v>118</v>
      </c>
      <c r="I662" s="373"/>
      <c r="J662" s="79" t="s">
        <v>86</v>
      </c>
    </row>
    <row r="663" spans="1:10" x14ac:dyDescent="0.3">
      <c r="A663" s="247"/>
      <c r="B663" s="73"/>
      <c r="C663" s="74"/>
      <c r="D663" s="75" t="s">
        <v>1531</v>
      </c>
      <c r="E663" s="82"/>
      <c r="F663" s="358" t="s">
        <v>1466</v>
      </c>
      <c r="G663" s="359"/>
      <c r="H663" s="354">
        <v>2</v>
      </c>
      <c r="I663" s="355"/>
      <c r="J663" s="79">
        <f>2.5*4*H663*2</f>
        <v>40</v>
      </c>
    </row>
    <row r="664" spans="1:10" ht="15" thickBot="1" x14ac:dyDescent="0.35">
      <c r="A664" s="364" t="s">
        <v>64</v>
      </c>
      <c r="B664" s="365"/>
      <c r="C664" s="365"/>
      <c r="D664" s="365"/>
      <c r="E664" s="365"/>
      <c r="F664" s="365"/>
      <c r="G664" s="365"/>
      <c r="H664" s="365"/>
      <c r="I664" s="366"/>
      <c r="J664" s="275">
        <f>SUM(J663)</f>
        <v>40</v>
      </c>
    </row>
    <row r="665" spans="1:10" ht="15" thickBot="1" x14ac:dyDescent="0.35">
      <c r="A665" s="415" t="s">
        <v>38</v>
      </c>
      <c r="B665" s="416"/>
      <c r="C665" s="416"/>
      <c r="D665" s="416"/>
      <c r="E665" s="416"/>
      <c r="F665" s="416"/>
      <c r="G665" s="416"/>
      <c r="H665" s="416"/>
      <c r="I665" s="416"/>
      <c r="J665" s="417"/>
    </row>
    <row r="666" spans="1:10" x14ac:dyDescent="0.3">
      <c r="A666" s="249">
        <v>11</v>
      </c>
      <c r="B666" s="87" t="s">
        <v>10</v>
      </c>
      <c r="C666" s="81">
        <v>140000</v>
      </c>
      <c r="D666" s="262" t="s">
        <v>39</v>
      </c>
      <c r="E666" s="95"/>
      <c r="F666" s="231"/>
      <c r="G666" s="231"/>
      <c r="H666" s="95"/>
      <c r="I666" s="95"/>
      <c r="J666" s="96"/>
    </row>
    <row r="667" spans="1:10" x14ac:dyDescent="0.3">
      <c r="A667" s="247" t="str">
        <f>ORÇAMENTO!A377</f>
        <v>11.1</v>
      </c>
      <c r="B667" s="73" t="str">
        <f>ORÇAMENTO!B377</f>
        <v>GOINFRA</v>
      </c>
      <c r="C667" s="74">
        <f>ORÇAMENTO!C377</f>
        <v>140201</v>
      </c>
      <c r="D667" s="75" t="str">
        <f>ORÇAMENTO!D377</f>
        <v xml:space="preserve">ESTRUT.-TELHA DE FIBROCIMENTO (C/TESOURA) C/FERRAGENS </v>
      </c>
      <c r="E667" s="74" t="str">
        <f>ORÇAMENTO!F377</f>
        <v xml:space="preserve">m2 </v>
      </c>
      <c r="F667" s="354" t="s">
        <v>88</v>
      </c>
      <c r="G667" s="369"/>
      <c r="H667" s="369"/>
      <c r="I667" s="355"/>
      <c r="J667" s="79" t="s">
        <v>86</v>
      </c>
    </row>
    <row r="668" spans="1:10" x14ac:dyDescent="0.3">
      <c r="A668" s="247"/>
      <c r="B668" s="73"/>
      <c r="C668" s="74"/>
      <c r="D668" s="75" t="s">
        <v>639</v>
      </c>
      <c r="E668" s="82"/>
      <c r="F668" s="354">
        <f>1158.3-13.55</f>
        <v>1144.75</v>
      </c>
      <c r="G668" s="369"/>
      <c r="H668" s="369"/>
      <c r="I668" s="355"/>
      <c r="J668" s="79">
        <f>F668</f>
        <v>1144.75</v>
      </c>
    </row>
    <row r="669" spans="1:10" ht="15" thickBot="1" x14ac:dyDescent="0.35">
      <c r="A669" s="364" t="s">
        <v>64</v>
      </c>
      <c r="B669" s="365"/>
      <c r="C669" s="365"/>
      <c r="D669" s="365"/>
      <c r="E669" s="365"/>
      <c r="F669" s="365"/>
      <c r="G669" s="365"/>
      <c r="H669" s="365"/>
      <c r="I669" s="366"/>
      <c r="J669" s="275">
        <f>SUM(J668)</f>
        <v>1144.75</v>
      </c>
    </row>
    <row r="670" spans="1:10" ht="15" thickBot="1" x14ac:dyDescent="0.35">
      <c r="A670" s="415" t="s">
        <v>40</v>
      </c>
      <c r="B670" s="416"/>
      <c r="C670" s="416"/>
      <c r="D670" s="416"/>
      <c r="E670" s="416"/>
      <c r="F670" s="416"/>
      <c r="G670" s="416"/>
      <c r="H670" s="416"/>
      <c r="I670" s="416"/>
      <c r="J670" s="417"/>
    </row>
    <row r="671" spans="1:10" x14ac:dyDescent="0.3">
      <c r="A671" s="249">
        <v>12</v>
      </c>
      <c r="B671" s="87" t="s">
        <v>10</v>
      </c>
      <c r="C671" s="81">
        <v>150000</v>
      </c>
      <c r="D671" s="262" t="s">
        <v>41</v>
      </c>
      <c r="E671" s="95"/>
      <c r="F671" s="231"/>
      <c r="G671" s="231"/>
      <c r="H671" s="95"/>
      <c r="I671" s="95"/>
      <c r="J671" s="96"/>
    </row>
    <row r="672" spans="1:10" ht="28.8" x14ac:dyDescent="0.3">
      <c r="A672" s="247" t="str">
        <f>ORÇAMENTO!A381</f>
        <v>12.1</v>
      </c>
      <c r="B672" s="73" t="str">
        <f>ORÇAMENTO!B381</f>
        <v>GOINFRA</v>
      </c>
      <c r="C672" s="74">
        <f>ORÇAMENTO!C381</f>
        <v>150204</v>
      </c>
      <c r="D672" s="75" t="str">
        <f>ORÇAMENTO!D381</f>
        <v>ESTRUTURA METÁLICA CONVENCIONAL EM AÇO DO TIPO MR-250 / ASTM A36 COM FUNDO ANTICORROSIVO</v>
      </c>
      <c r="E672" s="74" t="str">
        <f>ORÇAMENTO!F381</f>
        <v xml:space="preserve">Kg </v>
      </c>
      <c r="F672" s="358" t="s">
        <v>89</v>
      </c>
      <c r="G672" s="359"/>
      <c r="H672" s="82" t="s">
        <v>100</v>
      </c>
      <c r="I672" s="88" t="s">
        <v>1244</v>
      </c>
      <c r="J672" s="79" t="s">
        <v>86</v>
      </c>
    </row>
    <row r="673" spans="1:10" x14ac:dyDescent="0.3">
      <c r="A673" s="247"/>
      <c r="B673" s="73"/>
      <c r="C673" s="74"/>
      <c r="D673" s="75" t="s">
        <v>1242</v>
      </c>
      <c r="E673" s="74"/>
      <c r="F673" s="358">
        <v>12</v>
      </c>
      <c r="G673" s="359"/>
      <c r="H673" s="82">
        <v>5.5</v>
      </c>
      <c r="I673" s="82">
        <v>20.5</v>
      </c>
      <c r="J673" s="79">
        <f>I673*H673*F673*2</f>
        <v>2706</v>
      </c>
    </row>
    <row r="674" spans="1:10" x14ac:dyDescent="0.3">
      <c r="A674" s="247"/>
      <c r="B674" s="73"/>
      <c r="C674" s="74"/>
      <c r="D674" s="75" t="s">
        <v>1243</v>
      </c>
      <c r="E674" s="74"/>
      <c r="F674" s="358">
        <v>14</v>
      </c>
      <c r="G674" s="359"/>
      <c r="H674" s="82">
        <v>5.5</v>
      </c>
      <c r="I674" s="82">
        <v>20.5</v>
      </c>
      <c r="J674" s="79">
        <f>I674*H674*F674*2</f>
        <v>3157</v>
      </c>
    </row>
    <row r="675" spans="1:10" ht="15" thickBot="1" x14ac:dyDescent="0.35">
      <c r="A675" s="364" t="s">
        <v>64</v>
      </c>
      <c r="B675" s="365"/>
      <c r="C675" s="365"/>
      <c r="D675" s="365"/>
      <c r="E675" s="365"/>
      <c r="F675" s="365"/>
      <c r="G675" s="365"/>
      <c r="H675" s="365"/>
      <c r="I675" s="366"/>
      <c r="J675" s="275">
        <f>SUM(J673:J674)</f>
        <v>5863</v>
      </c>
    </row>
    <row r="676" spans="1:10" ht="43.2" x14ac:dyDescent="0.3">
      <c r="A676" s="247" t="str">
        <f>ORÇAMENTO!A382</f>
        <v>12.2</v>
      </c>
      <c r="B676" s="73" t="str">
        <f>ORÇAMENTO!B382</f>
        <v>SINAPI</v>
      </c>
      <c r="C676" s="74">
        <f>ORÇAMENTO!C382</f>
        <v>92580</v>
      </c>
      <c r="D676" s="75" t="str">
        <f>ORÇAMENTO!D382</f>
        <v>TRAMA DE AÇO COMPOSTA POR TERÇAS PARA TELHADOS DE ATÉ 2 ÁGUAS PARA TELHA ONDULADA DE FIBROCIMENTO, METÁLICA, PLÁSTICA OU TERMOACÚSTICA, INCLUSO TRANSPORTE VERTICAL. AF_07/2019</v>
      </c>
      <c r="E676" s="74" t="str">
        <f>ORÇAMENTO!F382</f>
        <v>m2</v>
      </c>
      <c r="F676" s="377" t="s">
        <v>115</v>
      </c>
      <c r="G676" s="378"/>
      <c r="H676" s="371" t="s">
        <v>117</v>
      </c>
      <c r="I676" s="373"/>
      <c r="J676" s="79" t="s">
        <v>86</v>
      </c>
    </row>
    <row r="677" spans="1:10" x14ac:dyDescent="0.3">
      <c r="A677" s="247"/>
      <c r="B677" s="73"/>
      <c r="C677" s="74"/>
      <c r="D677" s="75" t="s">
        <v>663</v>
      </c>
      <c r="E677" s="82"/>
      <c r="F677" s="358">
        <v>25.55</v>
      </c>
      <c r="G677" s="359"/>
      <c r="H677" s="354">
        <v>18</v>
      </c>
      <c r="I677" s="355"/>
      <c r="J677" s="79">
        <f>H677*F677</f>
        <v>459.90000000000003</v>
      </c>
    </row>
    <row r="678" spans="1:10" x14ac:dyDescent="0.3">
      <c r="A678" s="247"/>
      <c r="B678" s="73"/>
      <c r="C678" s="74"/>
      <c r="D678" s="75" t="s">
        <v>96</v>
      </c>
      <c r="E678" s="82"/>
      <c r="F678" s="358">
        <v>32.1</v>
      </c>
      <c r="G678" s="359"/>
      <c r="H678" s="354">
        <v>12.4</v>
      </c>
      <c r="I678" s="355"/>
      <c r="J678" s="79">
        <f>H678*F678</f>
        <v>398.04</v>
      </c>
    </row>
    <row r="679" spans="1:10" ht="15" thickBot="1" x14ac:dyDescent="0.35">
      <c r="A679" s="364" t="s">
        <v>64</v>
      </c>
      <c r="B679" s="365"/>
      <c r="C679" s="365"/>
      <c r="D679" s="365"/>
      <c r="E679" s="365"/>
      <c r="F679" s="365"/>
      <c r="G679" s="365"/>
      <c r="H679" s="365"/>
      <c r="I679" s="366"/>
      <c r="J679" s="275">
        <f>SUM(J677:J678)</f>
        <v>857.94</v>
      </c>
    </row>
    <row r="680" spans="1:10" ht="43.2" x14ac:dyDescent="0.3">
      <c r="A680" s="247" t="str">
        <f>ORÇAMENTO!A383</f>
        <v>12.3</v>
      </c>
      <c r="B680" s="74" t="str">
        <f>ORÇAMENTO!B383</f>
        <v>SINAPI</v>
      </c>
      <c r="C680" s="74">
        <f>ORÇAMENTO!C383</f>
        <v>92620</v>
      </c>
      <c r="D680" s="75" t="str">
        <f>ORÇAMENTO!D383</f>
        <v>FABRICAÇÃO E INSTALAÇÃO DE TESOURA INTEIRA EM AÇO, VÃO DE 12 M, PARA TELHA ONDULADA DE FIBROCIMENTO, METÁLICA, PLÁSTICA OU TERMOACÚSTICA,INCLUSO IÇAMENTO. AF_12/2015</v>
      </c>
      <c r="E680" s="82" t="str">
        <f>ORÇAMENTO!F383</f>
        <v>und.</v>
      </c>
      <c r="F680" s="371" t="s">
        <v>89</v>
      </c>
      <c r="G680" s="372"/>
      <c r="H680" s="372"/>
      <c r="I680" s="373"/>
      <c r="J680" s="79" t="s">
        <v>86</v>
      </c>
    </row>
    <row r="681" spans="1:10" x14ac:dyDescent="0.3">
      <c r="A681" s="247"/>
      <c r="B681" s="73"/>
      <c r="C681" s="74"/>
      <c r="D681" s="75" t="s">
        <v>96</v>
      </c>
      <c r="E681" s="82"/>
      <c r="F681" s="354">
        <v>7</v>
      </c>
      <c r="G681" s="369"/>
      <c r="H681" s="369"/>
      <c r="I681" s="355"/>
      <c r="J681" s="79">
        <f>F681</f>
        <v>7</v>
      </c>
    </row>
    <row r="682" spans="1:10" ht="15" thickBot="1" x14ac:dyDescent="0.35">
      <c r="A682" s="364" t="s">
        <v>64</v>
      </c>
      <c r="B682" s="365"/>
      <c r="C682" s="365"/>
      <c r="D682" s="365"/>
      <c r="E682" s="365"/>
      <c r="F682" s="365"/>
      <c r="G682" s="365"/>
      <c r="H682" s="365"/>
      <c r="I682" s="366"/>
      <c r="J682" s="275">
        <f>SUM(J680:J681)</f>
        <v>7</v>
      </c>
    </row>
    <row r="683" spans="1:10" x14ac:dyDescent="0.3">
      <c r="A683" s="247" t="str">
        <f>ORÇAMENTO!A384</f>
        <v>12.4</v>
      </c>
      <c r="B683" s="462" t="str">
        <f>ORÇAMENTO!B384</f>
        <v xml:space="preserve"> Composição 6 </v>
      </c>
      <c r="C683" s="463"/>
      <c r="D683" s="75" t="str">
        <f>ORÇAMENTO!D384</f>
        <v>TERÇA METÁLICA 18 METROS - FABRICAÇÃO E INSTALAÇÃO DE TESOURA INTEIRA EM AÇO</v>
      </c>
      <c r="E683" s="74" t="str">
        <f>ORÇAMENTO!F384</f>
        <v>und.</v>
      </c>
      <c r="F683" s="371" t="s">
        <v>89</v>
      </c>
      <c r="G683" s="372"/>
      <c r="H683" s="372"/>
      <c r="I683" s="373"/>
      <c r="J683" s="79" t="s">
        <v>86</v>
      </c>
    </row>
    <row r="684" spans="1:10" x14ac:dyDescent="0.3">
      <c r="A684" s="247"/>
      <c r="B684" s="73"/>
      <c r="C684" s="74"/>
      <c r="D684" s="75" t="s">
        <v>663</v>
      </c>
      <c r="E684" s="82"/>
      <c r="F684" s="354">
        <v>6</v>
      </c>
      <c r="G684" s="369"/>
      <c r="H684" s="369"/>
      <c r="I684" s="355"/>
      <c r="J684" s="79">
        <f>F684</f>
        <v>6</v>
      </c>
    </row>
    <row r="685" spans="1:10" ht="15" thickBot="1" x14ac:dyDescent="0.35">
      <c r="A685" s="364" t="s">
        <v>64</v>
      </c>
      <c r="B685" s="365"/>
      <c r="C685" s="365"/>
      <c r="D685" s="365"/>
      <c r="E685" s="365"/>
      <c r="F685" s="365"/>
      <c r="G685" s="365"/>
      <c r="H685" s="365"/>
      <c r="I685" s="366"/>
      <c r="J685" s="275">
        <f>SUM(J684)</f>
        <v>6</v>
      </c>
    </row>
    <row r="686" spans="1:10" ht="15" thickBot="1" x14ac:dyDescent="0.35">
      <c r="A686" s="415" t="s">
        <v>42</v>
      </c>
      <c r="B686" s="416"/>
      <c r="C686" s="416"/>
      <c r="D686" s="416"/>
      <c r="E686" s="416"/>
      <c r="F686" s="416"/>
      <c r="G686" s="416"/>
      <c r="H686" s="416"/>
      <c r="I686" s="416"/>
      <c r="J686" s="417"/>
    </row>
    <row r="687" spans="1:10" x14ac:dyDescent="0.3">
      <c r="A687" s="249">
        <v>13</v>
      </c>
      <c r="B687" s="90" t="s">
        <v>10</v>
      </c>
      <c r="C687" s="91">
        <v>160000</v>
      </c>
      <c r="D687" s="446" t="s">
        <v>43</v>
      </c>
      <c r="E687" s="447"/>
      <c r="F687" s="447"/>
      <c r="G687" s="447"/>
      <c r="H687" s="447"/>
      <c r="I687" s="447"/>
      <c r="J687" s="448"/>
    </row>
    <row r="688" spans="1:10" x14ac:dyDescent="0.3">
      <c r="A688" s="247" t="str">
        <f>ORÇAMENTO!A388</f>
        <v>13.1</v>
      </c>
      <c r="B688" s="73" t="str">
        <f>ORÇAMENTO!B388</f>
        <v>GOINFRA</v>
      </c>
      <c r="C688" s="74">
        <f>ORÇAMENTO!C388</f>
        <v>160501</v>
      </c>
      <c r="D688" s="75" t="str">
        <f>ORÇAMENTO!D388</f>
        <v>COBERTURA COM TELHA ONDULADA OU EQUIV.</v>
      </c>
      <c r="E688" s="74" t="str">
        <f>ORÇAMENTO!F388</f>
        <v xml:space="preserve"> m2 </v>
      </c>
      <c r="F688" s="354" t="s">
        <v>88</v>
      </c>
      <c r="G688" s="369"/>
      <c r="H688" s="369"/>
      <c r="I688" s="355"/>
      <c r="J688" s="79" t="s">
        <v>86</v>
      </c>
    </row>
    <row r="689" spans="1:10" x14ac:dyDescent="0.3">
      <c r="A689" s="247"/>
      <c r="B689" s="73"/>
      <c r="C689" s="74"/>
      <c r="D689" s="75" t="s">
        <v>639</v>
      </c>
      <c r="E689" s="82"/>
      <c r="F689" s="354">
        <f>F668</f>
        <v>1144.75</v>
      </c>
      <c r="G689" s="369"/>
      <c r="H689" s="369"/>
      <c r="I689" s="355"/>
      <c r="J689" s="79">
        <f>F689</f>
        <v>1144.75</v>
      </c>
    </row>
    <row r="690" spans="1:10" ht="15" thickBot="1" x14ac:dyDescent="0.35">
      <c r="A690" s="364" t="s">
        <v>64</v>
      </c>
      <c r="B690" s="365"/>
      <c r="C690" s="365"/>
      <c r="D690" s="365"/>
      <c r="E690" s="365"/>
      <c r="F690" s="365"/>
      <c r="G690" s="365"/>
      <c r="H690" s="365"/>
      <c r="I690" s="366"/>
      <c r="J690" s="275">
        <f>SUM(J689)</f>
        <v>1144.75</v>
      </c>
    </row>
    <row r="691" spans="1:10" x14ac:dyDescent="0.3">
      <c r="A691" s="247" t="str">
        <f>ORÇAMENTO!A389</f>
        <v>13.2</v>
      </c>
      <c r="B691" s="73" t="str">
        <f>ORÇAMENTO!B389</f>
        <v>GOINFRA</v>
      </c>
      <c r="C691" s="74">
        <f>ORÇAMENTO!C389</f>
        <v>160502</v>
      </c>
      <c r="D691" s="75" t="str">
        <f>ORÇAMENTO!D389</f>
        <v xml:space="preserve">CUMEEIRA PARA TELHA ONDULADA OU EQUIV. </v>
      </c>
      <c r="E691" s="74" t="str">
        <f>ORÇAMENTO!F389</f>
        <v xml:space="preserve">m </v>
      </c>
      <c r="F691" s="371" t="s">
        <v>115</v>
      </c>
      <c r="G691" s="372"/>
      <c r="H691" s="372"/>
      <c r="I691" s="373"/>
      <c r="J691" s="212" t="s">
        <v>86</v>
      </c>
    </row>
    <row r="692" spans="1:10" x14ac:dyDescent="0.3">
      <c r="A692" s="247"/>
      <c r="B692" s="73"/>
      <c r="C692" s="74"/>
      <c r="D692" s="75" t="s">
        <v>639</v>
      </c>
      <c r="E692" s="82"/>
      <c r="F692" s="354" t="s">
        <v>660</v>
      </c>
      <c r="G692" s="369"/>
      <c r="H692" s="369"/>
      <c r="I692" s="355"/>
      <c r="J692" s="79">
        <f>31.7+6.2+32.7</f>
        <v>70.599999999999994</v>
      </c>
    </row>
    <row r="693" spans="1:10" ht="15" thickBot="1" x14ac:dyDescent="0.35">
      <c r="A693" s="364" t="s">
        <v>64</v>
      </c>
      <c r="B693" s="365"/>
      <c r="C693" s="365"/>
      <c r="D693" s="365"/>
      <c r="E693" s="365"/>
      <c r="F693" s="365"/>
      <c r="G693" s="365"/>
      <c r="H693" s="365"/>
      <c r="I693" s="366"/>
      <c r="J693" s="275">
        <f>SUM(J692)</f>
        <v>70.599999999999994</v>
      </c>
    </row>
    <row r="694" spans="1:10" x14ac:dyDescent="0.3">
      <c r="A694" s="247" t="str">
        <f>ORÇAMENTO!A390</f>
        <v>13.3</v>
      </c>
      <c r="B694" s="73" t="str">
        <f>ORÇAMENTO!B390</f>
        <v>GOINFRA</v>
      </c>
      <c r="C694" s="74">
        <f>ORÇAMENTO!C390</f>
        <v>160600</v>
      </c>
      <c r="D694" s="75" t="str">
        <f>ORÇAMENTO!D390</f>
        <v xml:space="preserve">CALHA DE CHAPA GALVANIZADA </v>
      </c>
      <c r="E694" s="74" t="str">
        <f>ORÇAMENTO!F390</f>
        <v xml:space="preserve">m2 </v>
      </c>
      <c r="F694" s="377" t="s">
        <v>115</v>
      </c>
      <c r="G694" s="378"/>
      <c r="H694" s="371" t="s">
        <v>117</v>
      </c>
      <c r="I694" s="373"/>
      <c r="J694" s="76" t="s">
        <v>86</v>
      </c>
    </row>
    <row r="695" spans="1:10" ht="48.75" customHeight="1" x14ac:dyDescent="0.3">
      <c r="A695" s="247"/>
      <c r="B695" s="73"/>
      <c r="C695" s="74"/>
      <c r="D695" s="75" t="s">
        <v>667</v>
      </c>
      <c r="E695" s="74"/>
      <c r="F695" s="358" t="s">
        <v>873</v>
      </c>
      <c r="G695" s="359"/>
      <c r="H695" s="354" t="s">
        <v>668</v>
      </c>
      <c r="I695" s="355"/>
      <c r="J695" s="76">
        <f>(7.15+10.14+44.13+49.74+44.13+6.8+33.37+32.8+40.48+18+18+3.98+3.98)*(0.02+0.15+0.02)</f>
        <v>59.413000000000004</v>
      </c>
    </row>
    <row r="696" spans="1:10" ht="15" thickBot="1" x14ac:dyDescent="0.35">
      <c r="A696" s="364" t="s">
        <v>64</v>
      </c>
      <c r="B696" s="365"/>
      <c r="C696" s="365"/>
      <c r="D696" s="365"/>
      <c r="E696" s="365"/>
      <c r="F696" s="365"/>
      <c r="G696" s="365"/>
      <c r="H696" s="365"/>
      <c r="I696" s="366"/>
      <c r="J696" s="275">
        <f>SUM(J695)</f>
        <v>59.413000000000004</v>
      </c>
    </row>
    <row r="697" spans="1:10" x14ac:dyDescent="0.3">
      <c r="A697" s="247" t="str">
        <f>ORÇAMENTO!A391</f>
        <v>13.4</v>
      </c>
      <c r="B697" s="73" t="str">
        <f>ORÇAMENTO!B391</f>
        <v>GOINFRA</v>
      </c>
      <c r="C697" s="74">
        <f>ORÇAMENTO!C391</f>
        <v>160601</v>
      </c>
      <c r="D697" s="75" t="str">
        <f>ORÇAMENTO!D391</f>
        <v>CALHA DE CHAPA GALVANIZADA</v>
      </c>
      <c r="E697" s="74" t="str">
        <f>ORÇAMENTO!F391</f>
        <v xml:space="preserve"> m </v>
      </c>
      <c r="F697" s="371" t="s">
        <v>115</v>
      </c>
      <c r="G697" s="372"/>
      <c r="H697" s="372"/>
      <c r="I697" s="373"/>
      <c r="J697" s="76" t="s">
        <v>86</v>
      </c>
    </row>
    <row r="698" spans="1:10" x14ac:dyDescent="0.3">
      <c r="A698" s="247"/>
      <c r="B698" s="73"/>
      <c r="C698" s="74"/>
      <c r="D698" s="75" t="s">
        <v>639</v>
      </c>
      <c r="E698" s="74"/>
      <c r="F698" s="354" t="s">
        <v>662</v>
      </c>
      <c r="G698" s="369"/>
      <c r="H698" s="369"/>
      <c r="I698" s="355"/>
      <c r="J698" s="76">
        <f>31.7+49.45+6.2+36.35+32.7+9.84+17.6</f>
        <v>183.84000000000003</v>
      </c>
    </row>
    <row r="699" spans="1:10" x14ac:dyDescent="0.3">
      <c r="A699" s="247"/>
      <c r="B699" s="73"/>
      <c r="C699" s="74"/>
      <c r="D699" s="75" t="s">
        <v>663</v>
      </c>
      <c r="E699" s="74"/>
      <c r="F699" s="354" t="s">
        <v>666</v>
      </c>
      <c r="G699" s="369"/>
      <c r="H699" s="369"/>
      <c r="I699" s="355"/>
      <c r="J699" s="76">
        <f>25.55+25.55</f>
        <v>51.1</v>
      </c>
    </row>
    <row r="700" spans="1:10" x14ac:dyDescent="0.3">
      <c r="A700" s="247"/>
      <c r="B700" s="73"/>
      <c r="C700" s="74"/>
      <c r="D700" s="75" t="s">
        <v>664</v>
      </c>
      <c r="E700" s="74"/>
      <c r="F700" s="354" t="s">
        <v>665</v>
      </c>
      <c r="G700" s="369"/>
      <c r="H700" s="369"/>
      <c r="I700" s="355"/>
      <c r="J700" s="76">
        <f>32.12+32.12</f>
        <v>64.239999999999995</v>
      </c>
    </row>
    <row r="701" spans="1:10" ht="15" thickBot="1" x14ac:dyDescent="0.35">
      <c r="A701" s="364" t="s">
        <v>64</v>
      </c>
      <c r="B701" s="365"/>
      <c r="C701" s="365"/>
      <c r="D701" s="365"/>
      <c r="E701" s="365"/>
      <c r="F701" s="365"/>
      <c r="G701" s="365"/>
      <c r="H701" s="365"/>
      <c r="I701" s="366"/>
      <c r="J701" s="275">
        <f>SUM(J698:J700)</f>
        <v>299.18</v>
      </c>
    </row>
    <row r="702" spans="1:10" x14ac:dyDescent="0.3">
      <c r="A702" s="247" t="str">
        <f>ORÇAMENTO!A392</f>
        <v>13.5</v>
      </c>
      <c r="B702" s="73" t="str">
        <f>ORÇAMENTO!B392</f>
        <v>GOINFRA</v>
      </c>
      <c r="C702" s="74">
        <f>ORÇAMENTO!C392</f>
        <v>160602</v>
      </c>
      <c r="D702" s="75" t="str">
        <f>ORÇAMENTO!D392</f>
        <v xml:space="preserve">RUFO DE CHAPA GALVANIZADA </v>
      </c>
      <c r="E702" s="74" t="str">
        <f>ORÇAMENTO!F392</f>
        <v xml:space="preserve">m </v>
      </c>
      <c r="F702" s="371" t="s">
        <v>115</v>
      </c>
      <c r="G702" s="372"/>
      <c r="H702" s="372"/>
      <c r="I702" s="373"/>
      <c r="J702" s="76" t="s">
        <v>86</v>
      </c>
    </row>
    <row r="703" spans="1:10" ht="33.75" customHeight="1" x14ac:dyDescent="0.3">
      <c r="A703" s="247"/>
      <c r="B703" s="73"/>
      <c r="C703" s="74"/>
      <c r="D703" s="75" t="s">
        <v>639</v>
      </c>
      <c r="E703" s="74"/>
      <c r="F703" s="358" t="s">
        <v>669</v>
      </c>
      <c r="G703" s="387"/>
      <c r="H703" s="387"/>
      <c r="I703" s="359"/>
      <c r="J703" s="79">
        <f>7.15+3.5+11.4+7.15+10.8+6.19+3.5+3.5+3.5+3.5+9.84+3.98+3.98+6.5+6.5+33.18+17.6+3.98+3.98</f>
        <v>149.72999999999999</v>
      </c>
    </row>
    <row r="704" spans="1:10" ht="33.75" customHeight="1" x14ac:dyDescent="0.3">
      <c r="A704" s="247"/>
      <c r="B704" s="73"/>
      <c r="C704" s="74"/>
      <c r="D704" s="75" t="s">
        <v>1051</v>
      </c>
      <c r="E704" s="74"/>
      <c r="F704" s="358" t="s">
        <v>1547</v>
      </c>
      <c r="G704" s="387"/>
      <c r="H704" s="387"/>
      <c r="I704" s="359"/>
      <c r="J704" s="244">
        <v>36</v>
      </c>
    </row>
    <row r="705" spans="1:10" ht="33.75" customHeight="1" x14ac:dyDescent="0.3">
      <c r="A705" s="247"/>
      <c r="B705" s="73"/>
      <c r="C705" s="74"/>
      <c r="D705" s="75" t="s">
        <v>96</v>
      </c>
      <c r="E705" s="74"/>
      <c r="F705" s="358" t="s">
        <v>1546</v>
      </c>
      <c r="G705" s="387"/>
      <c r="H705" s="387"/>
      <c r="I705" s="359"/>
      <c r="J705" s="244">
        <v>24.84</v>
      </c>
    </row>
    <row r="706" spans="1:10" ht="15" thickBot="1" x14ac:dyDescent="0.35">
      <c r="A706" s="364" t="s">
        <v>64</v>
      </c>
      <c r="B706" s="365"/>
      <c r="C706" s="365"/>
      <c r="D706" s="365"/>
      <c r="E706" s="365"/>
      <c r="F706" s="365"/>
      <c r="G706" s="365"/>
      <c r="H706" s="365"/>
      <c r="I706" s="366"/>
      <c r="J706" s="275">
        <f>SUM(J703:J705)</f>
        <v>210.57</v>
      </c>
    </row>
    <row r="707" spans="1:10" ht="28.8" x14ac:dyDescent="0.3">
      <c r="A707" s="247" t="str">
        <f>ORÇAMENTO!A393</f>
        <v>13.6</v>
      </c>
      <c r="B707" s="73" t="str">
        <f>ORÇAMENTO!B393</f>
        <v>SEINFRA - CE</v>
      </c>
      <c r="C707" s="74" t="str">
        <f>ORÇAMENTO!C393</f>
        <v>C0770</v>
      </c>
      <c r="D707" s="281" t="str">
        <f>ORÇAMENTO!D393</f>
        <v>CHAPA POLICARBONATO COMPACTA CRISTAL ESP: 6 MM</v>
      </c>
      <c r="E707" s="74" t="str">
        <f>ORÇAMENTO!F393</f>
        <v xml:space="preserve">m2 </v>
      </c>
      <c r="F707" s="377" t="s">
        <v>115</v>
      </c>
      <c r="G707" s="378"/>
      <c r="H707" s="371" t="s">
        <v>117</v>
      </c>
      <c r="I707" s="373"/>
      <c r="J707" s="79" t="s">
        <v>86</v>
      </c>
    </row>
    <row r="708" spans="1:10" x14ac:dyDescent="0.3">
      <c r="A708" s="247"/>
      <c r="B708" s="73"/>
      <c r="C708" s="74"/>
      <c r="D708" s="75" t="s">
        <v>670</v>
      </c>
      <c r="E708" s="74"/>
      <c r="F708" s="358">
        <v>32.799999999999997</v>
      </c>
      <c r="G708" s="359"/>
      <c r="H708" s="354">
        <v>3.5</v>
      </c>
      <c r="I708" s="355"/>
      <c r="J708" s="76">
        <f>H708*F708</f>
        <v>114.79999999999998</v>
      </c>
    </row>
    <row r="709" spans="1:10" ht="15" thickBot="1" x14ac:dyDescent="0.35">
      <c r="A709" s="364" t="s">
        <v>64</v>
      </c>
      <c r="B709" s="365"/>
      <c r="C709" s="365"/>
      <c r="D709" s="365"/>
      <c r="E709" s="365"/>
      <c r="F709" s="365"/>
      <c r="G709" s="365"/>
      <c r="H709" s="365"/>
      <c r="I709" s="366"/>
      <c r="J709" s="275">
        <f>SUM(J708)</f>
        <v>114.79999999999998</v>
      </c>
    </row>
    <row r="710" spans="1:10" x14ac:dyDescent="0.3">
      <c r="A710" s="247" t="str">
        <f>ORÇAMENTO!A394</f>
        <v>13.7</v>
      </c>
      <c r="B710" s="73" t="str">
        <f>ORÇAMENTO!B394</f>
        <v>GOINFRA</v>
      </c>
      <c r="C710" s="74">
        <f>ORÇAMENTO!C394</f>
        <v>160964</v>
      </c>
      <c r="D710" s="75" t="str">
        <f>ORÇAMENTO!D394</f>
        <v xml:space="preserve"> CUMEEIRA PARA TELHA GALVANIZADA TRAPEZOIDAL 0,5 MM </v>
      </c>
      <c r="E710" s="74" t="str">
        <f>ORÇAMENTO!F394</f>
        <v>m</v>
      </c>
      <c r="F710" s="371" t="s">
        <v>115</v>
      </c>
      <c r="G710" s="372"/>
      <c r="H710" s="372"/>
      <c r="I710" s="373"/>
      <c r="J710" s="79" t="s">
        <v>86</v>
      </c>
    </row>
    <row r="711" spans="1:10" x14ac:dyDescent="0.3">
      <c r="A711" s="247"/>
      <c r="B711" s="73"/>
      <c r="C711" s="74"/>
      <c r="D711" s="75" t="s">
        <v>663</v>
      </c>
      <c r="E711" s="74"/>
      <c r="F711" s="354">
        <v>25.55</v>
      </c>
      <c r="G711" s="369"/>
      <c r="H711" s="369"/>
      <c r="I711" s="355"/>
      <c r="J711" s="76">
        <f>F711</f>
        <v>25.55</v>
      </c>
    </row>
    <row r="712" spans="1:10" x14ac:dyDescent="0.3">
      <c r="A712" s="247"/>
      <c r="B712" s="73"/>
      <c r="C712" s="74"/>
      <c r="D712" s="75" t="s">
        <v>96</v>
      </c>
      <c r="E712" s="74"/>
      <c r="F712" s="354">
        <v>32.119999999999997</v>
      </c>
      <c r="G712" s="369"/>
      <c r="H712" s="369"/>
      <c r="I712" s="355"/>
      <c r="J712" s="76">
        <f>F712</f>
        <v>32.119999999999997</v>
      </c>
    </row>
    <row r="713" spans="1:10" ht="15" thickBot="1" x14ac:dyDescent="0.35">
      <c r="A713" s="364" t="s">
        <v>64</v>
      </c>
      <c r="B713" s="365"/>
      <c r="C713" s="365"/>
      <c r="D713" s="365"/>
      <c r="E713" s="365"/>
      <c r="F713" s="365"/>
      <c r="G713" s="365"/>
      <c r="H713" s="365"/>
      <c r="I713" s="366"/>
      <c r="J713" s="275">
        <f>J711+J712</f>
        <v>57.67</v>
      </c>
    </row>
    <row r="714" spans="1:10" ht="28.8" x14ac:dyDescent="0.3">
      <c r="A714" s="247" t="str">
        <f>ORÇAMENTO!A395</f>
        <v>13.8</v>
      </c>
      <c r="B714" s="73" t="str">
        <f>ORÇAMENTO!B395</f>
        <v>GOINFRA</v>
      </c>
      <c r="C714" s="74">
        <f>ORÇAMENTO!C395</f>
        <v>160970</v>
      </c>
      <c r="D714" s="75" t="str">
        <f>ORÇAMENTO!D395</f>
        <v>FECHAMENTO LATERAL COM TELHA GALVANIZADA TRAPEZOIDAL 0,43 MM COM ACESSÓRIOS</v>
      </c>
      <c r="E714" s="74" t="str">
        <f>ORÇAMENTO!F395</f>
        <v xml:space="preserve">
m2 </v>
      </c>
      <c r="F714" s="377" t="s">
        <v>115</v>
      </c>
      <c r="G714" s="378"/>
      <c r="H714" s="371" t="s">
        <v>117</v>
      </c>
      <c r="I714" s="373"/>
      <c r="J714" s="76" t="s">
        <v>86</v>
      </c>
    </row>
    <row r="715" spans="1:10" x14ac:dyDescent="0.3">
      <c r="A715" s="247"/>
      <c r="B715" s="73"/>
      <c r="C715" s="74"/>
      <c r="D715" s="75" t="s">
        <v>663</v>
      </c>
      <c r="E715" s="74"/>
      <c r="F715" s="358" t="s">
        <v>875</v>
      </c>
      <c r="G715" s="359"/>
      <c r="H715" s="354">
        <v>1</v>
      </c>
      <c r="I715" s="355"/>
      <c r="J715" s="76">
        <f>25.55+25.55+18+18</f>
        <v>87.1</v>
      </c>
    </row>
    <row r="716" spans="1:10" x14ac:dyDescent="0.3">
      <c r="A716" s="247"/>
      <c r="B716" s="73"/>
      <c r="C716" s="74"/>
      <c r="D716" s="75" t="s">
        <v>664</v>
      </c>
      <c r="E716" s="74"/>
      <c r="F716" s="358" t="s">
        <v>1548</v>
      </c>
      <c r="G716" s="359"/>
      <c r="H716" s="354">
        <f>5.5-4.3</f>
        <v>1.2000000000000002</v>
      </c>
      <c r="I716" s="355"/>
      <c r="J716" s="76">
        <f>(32.1+32.1+12.4+12.4)</f>
        <v>89.000000000000014</v>
      </c>
    </row>
    <row r="717" spans="1:10" ht="15" thickBot="1" x14ac:dyDescent="0.35">
      <c r="A717" s="364" t="s">
        <v>64</v>
      </c>
      <c r="B717" s="365"/>
      <c r="C717" s="365"/>
      <c r="D717" s="365"/>
      <c r="E717" s="365"/>
      <c r="F717" s="365"/>
      <c r="G717" s="365"/>
      <c r="H717" s="365"/>
      <c r="I717" s="366"/>
      <c r="J717" s="275">
        <f>SUM(J715:J716)</f>
        <v>176.10000000000002</v>
      </c>
    </row>
    <row r="718" spans="1:10" ht="28.8" x14ac:dyDescent="0.3">
      <c r="A718" s="247" t="str">
        <f>ORÇAMENTO!A396</f>
        <v>13.9</v>
      </c>
      <c r="B718" s="73" t="str">
        <f>ORÇAMENTO!B396</f>
        <v>SINAPI</v>
      </c>
      <c r="C718" s="74">
        <f>ORÇAMENTO!C396</f>
        <v>94216</v>
      </c>
      <c r="D718" s="75" t="str">
        <f>ORÇAMENTO!D396</f>
        <v>TELHAMENTO COM TELHA METÁLICA TERMOACÚSTICA E = 30 MM, COM ATÉ 2 ÁGUAS  , INCLUSO IÇAMENTO. AF_07/2019</v>
      </c>
      <c r="E718" s="74" t="str">
        <f>ORÇAMENTO!F396</f>
        <v>m2</v>
      </c>
      <c r="F718" s="377" t="s">
        <v>115</v>
      </c>
      <c r="G718" s="378"/>
      <c r="H718" s="371" t="s">
        <v>117</v>
      </c>
      <c r="I718" s="373"/>
      <c r="J718" s="76" t="s">
        <v>86</v>
      </c>
    </row>
    <row r="719" spans="1:10" x14ac:dyDescent="0.3">
      <c r="A719" s="247"/>
      <c r="B719" s="73"/>
      <c r="C719" s="74"/>
      <c r="D719" s="75" t="s">
        <v>664</v>
      </c>
      <c r="E719" s="74"/>
      <c r="F719" s="358">
        <v>32.1</v>
      </c>
      <c r="G719" s="359"/>
      <c r="H719" s="354">
        <v>12.4</v>
      </c>
      <c r="I719" s="355"/>
      <c r="J719" s="76">
        <f>H719*F719</f>
        <v>398.04</v>
      </c>
    </row>
    <row r="720" spans="1:10" x14ac:dyDescent="0.3">
      <c r="A720" s="247"/>
      <c r="B720" s="73"/>
      <c r="C720" s="74"/>
      <c r="D720" s="75" t="s">
        <v>663</v>
      </c>
      <c r="E720" s="74"/>
      <c r="F720" s="358">
        <v>25.55</v>
      </c>
      <c r="G720" s="359"/>
      <c r="H720" s="354">
        <v>18</v>
      </c>
      <c r="I720" s="355"/>
      <c r="J720" s="76">
        <f>H720*F720</f>
        <v>459.90000000000003</v>
      </c>
    </row>
    <row r="721" spans="1:10" ht="15" thickBot="1" x14ac:dyDescent="0.35">
      <c r="A721" s="364" t="s">
        <v>64</v>
      </c>
      <c r="B721" s="365"/>
      <c r="C721" s="365"/>
      <c r="D721" s="365"/>
      <c r="E721" s="365"/>
      <c r="F721" s="365"/>
      <c r="G721" s="365"/>
      <c r="H721" s="365"/>
      <c r="I721" s="366"/>
      <c r="J721" s="275">
        <f>SUM(J719:J720)</f>
        <v>857.94</v>
      </c>
    </row>
    <row r="722" spans="1:10" ht="15" thickBot="1" x14ac:dyDescent="0.35">
      <c r="A722" s="415" t="s">
        <v>44</v>
      </c>
      <c r="B722" s="416"/>
      <c r="C722" s="416"/>
      <c r="D722" s="416"/>
      <c r="E722" s="416"/>
      <c r="F722" s="416"/>
      <c r="G722" s="416"/>
      <c r="H722" s="416"/>
      <c r="I722" s="416"/>
      <c r="J722" s="417"/>
    </row>
    <row r="723" spans="1:10" x14ac:dyDescent="0.3">
      <c r="A723" s="249">
        <v>14</v>
      </c>
      <c r="B723" s="87" t="s">
        <v>10</v>
      </c>
      <c r="C723" s="81">
        <v>170000</v>
      </c>
      <c r="D723" s="262" t="s">
        <v>45</v>
      </c>
      <c r="E723" s="95"/>
      <c r="F723" s="231"/>
      <c r="G723" s="231"/>
      <c r="H723" s="95"/>
      <c r="I723" s="95"/>
      <c r="J723" s="96"/>
    </row>
    <row r="724" spans="1:10" x14ac:dyDescent="0.3">
      <c r="A724" s="256" t="str">
        <f>ORÇAMENTO!A400</f>
        <v>14.1</v>
      </c>
      <c r="B724" s="106" t="str">
        <f>ORÇAMENTO!B400</f>
        <v>GOINFRA</v>
      </c>
      <c r="C724" s="107">
        <f>ORÇAMENTO!C400</f>
        <v>170103</v>
      </c>
      <c r="D724" s="122" t="str">
        <f>ORÇAMENTO!D400</f>
        <v xml:space="preserve">PORTA LISA 80x210 C/PORTAL E ALISAR S/FERRAGENS </v>
      </c>
      <c r="E724" s="107" t="str">
        <f>ORÇAMENTO!F400</f>
        <v>und.</v>
      </c>
      <c r="F724" s="351" t="s">
        <v>89</v>
      </c>
      <c r="G724" s="352"/>
      <c r="H724" s="352"/>
      <c r="I724" s="353"/>
      <c r="J724" s="76" t="s">
        <v>86</v>
      </c>
    </row>
    <row r="725" spans="1:10" x14ac:dyDescent="0.3">
      <c r="A725" s="256"/>
      <c r="B725" s="106"/>
      <c r="C725" s="107"/>
      <c r="D725" s="122" t="s">
        <v>755</v>
      </c>
      <c r="E725" s="107"/>
      <c r="F725" s="351">
        <v>1</v>
      </c>
      <c r="G725" s="352"/>
      <c r="H725" s="352"/>
      <c r="I725" s="353"/>
      <c r="J725" s="76">
        <f t="shared" ref="J725:J756" si="4">F725</f>
        <v>1</v>
      </c>
    </row>
    <row r="726" spans="1:10" x14ac:dyDescent="0.3">
      <c r="A726" s="256"/>
      <c r="B726" s="106"/>
      <c r="C726" s="107"/>
      <c r="D726" s="122" t="s">
        <v>756</v>
      </c>
      <c r="E726" s="107"/>
      <c r="F726" s="351">
        <v>1</v>
      </c>
      <c r="G726" s="352"/>
      <c r="H726" s="352"/>
      <c r="I726" s="353"/>
      <c r="J726" s="76">
        <f t="shared" si="4"/>
        <v>1</v>
      </c>
    </row>
    <row r="727" spans="1:10" x14ac:dyDescent="0.3">
      <c r="A727" s="256"/>
      <c r="B727" s="106"/>
      <c r="C727" s="107"/>
      <c r="D727" s="122" t="s">
        <v>757</v>
      </c>
      <c r="E727" s="107"/>
      <c r="F727" s="351">
        <v>1</v>
      </c>
      <c r="G727" s="352"/>
      <c r="H727" s="352"/>
      <c r="I727" s="353"/>
      <c r="J727" s="76">
        <f t="shared" si="4"/>
        <v>1</v>
      </c>
    </row>
    <row r="728" spans="1:10" x14ac:dyDescent="0.3">
      <c r="A728" s="256"/>
      <c r="B728" s="106"/>
      <c r="C728" s="107"/>
      <c r="D728" s="122" t="s">
        <v>758</v>
      </c>
      <c r="E728" s="107"/>
      <c r="F728" s="351">
        <v>1</v>
      </c>
      <c r="G728" s="352"/>
      <c r="H728" s="352"/>
      <c r="I728" s="353"/>
      <c r="J728" s="76">
        <f t="shared" si="4"/>
        <v>1</v>
      </c>
    </row>
    <row r="729" spans="1:10" x14ac:dyDescent="0.3">
      <c r="A729" s="256"/>
      <c r="B729" s="106"/>
      <c r="C729" s="107"/>
      <c r="D729" s="122" t="s">
        <v>759</v>
      </c>
      <c r="E729" s="107"/>
      <c r="F729" s="351">
        <v>1</v>
      </c>
      <c r="G729" s="352"/>
      <c r="H729" s="352"/>
      <c r="I729" s="353"/>
      <c r="J729" s="76">
        <f t="shared" si="4"/>
        <v>1</v>
      </c>
    </row>
    <row r="730" spans="1:10" x14ac:dyDescent="0.3">
      <c r="A730" s="256"/>
      <c r="B730" s="106"/>
      <c r="C730" s="107"/>
      <c r="D730" s="122" t="s">
        <v>760</v>
      </c>
      <c r="E730" s="107"/>
      <c r="F730" s="351">
        <v>1</v>
      </c>
      <c r="G730" s="352"/>
      <c r="H730" s="352"/>
      <c r="I730" s="353"/>
      <c r="J730" s="76">
        <f t="shared" si="4"/>
        <v>1</v>
      </c>
    </row>
    <row r="731" spans="1:10" x14ac:dyDescent="0.3">
      <c r="A731" s="256"/>
      <c r="B731" s="106"/>
      <c r="C731" s="107"/>
      <c r="D731" s="122" t="s">
        <v>761</v>
      </c>
      <c r="E731" s="107"/>
      <c r="F731" s="351">
        <v>1</v>
      </c>
      <c r="G731" s="352"/>
      <c r="H731" s="352"/>
      <c r="I731" s="353"/>
      <c r="J731" s="76">
        <f t="shared" si="4"/>
        <v>1</v>
      </c>
    </row>
    <row r="732" spans="1:10" x14ac:dyDescent="0.3">
      <c r="A732" s="256"/>
      <c r="B732" s="106"/>
      <c r="C732" s="107"/>
      <c r="D732" s="122" t="s">
        <v>762</v>
      </c>
      <c r="E732" s="107"/>
      <c r="F732" s="351">
        <v>1</v>
      </c>
      <c r="G732" s="352"/>
      <c r="H732" s="352"/>
      <c r="I732" s="353"/>
      <c r="J732" s="76">
        <f t="shared" si="4"/>
        <v>1</v>
      </c>
    </row>
    <row r="733" spans="1:10" x14ac:dyDescent="0.3">
      <c r="A733" s="256"/>
      <c r="B733" s="106"/>
      <c r="C733" s="107"/>
      <c r="D733" s="122" t="s">
        <v>763</v>
      </c>
      <c r="E733" s="107"/>
      <c r="F733" s="351">
        <v>1</v>
      </c>
      <c r="G733" s="352"/>
      <c r="H733" s="352"/>
      <c r="I733" s="353"/>
      <c r="J733" s="76">
        <f t="shared" si="4"/>
        <v>1</v>
      </c>
    </row>
    <row r="734" spans="1:10" x14ac:dyDescent="0.3">
      <c r="A734" s="256"/>
      <c r="B734" s="106"/>
      <c r="C734" s="107"/>
      <c r="D734" s="122" t="s">
        <v>764</v>
      </c>
      <c r="E734" s="107"/>
      <c r="F734" s="351">
        <v>1</v>
      </c>
      <c r="G734" s="352"/>
      <c r="H734" s="352"/>
      <c r="I734" s="353"/>
      <c r="J734" s="76">
        <f t="shared" si="4"/>
        <v>1</v>
      </c>
    </row>
    <row r="735" spans="1:10" x14ac:dyDescent="0.3">
      <c r="A735" s="256"/>
      <c r="B735" s="106"/>
      <c r="C735" s="107"/>
      <c r="D735" s="122" t="s">
        <v>765</v>
      </c>
      <c r="E735" s="107"/>
      <c r="F735" s="351">
        <v>1</v>
      </c>
      <c r="G735" s="352"/>
      <c r="H735" s="352"/>
      <c r="I735" s="353"/>
      <c r="J735" s="76">
        <f t="shared" si="4"/>
        <v>1</v>
      </c>
    </row>
    <row r="736" spans="1:10" x14ac:dyDescent="0.3">
      <c r="A736" s="256"/>
      <c r="B736" s="106"/>
      <c r="C736" s="107"/>
      <c r="D736" s="122" t="s">
        <v>766</v>
      </c>
      <c r="E736" s="107"/>
      <c r="F736" s="351">
        <v>1</v>
      </c>
      <c r="G736" s="352"/>
      <c r="H736" s="352"/>
      <c r="I736" s="353"/>
      <c r="J736" s="76">
        <f t="shared" si="4"/>
        <v>1</v>
      </c>
    </row>
    <row r="737" spans="1:10" x14ac:dyDescent="0.3">
      <c r="A737" s="256"/>
      <c r="B737" s="106"/>
      <c r="C737" s="107"/>
      <c r="D737" s="122" t="s">
        <v>767</v>
      </c>
      <c r="E737" s="107"/>
      <c r="F737" s="351">
        <v>1</v>
      </c>
      <c r="G737" s="352"/>
      <c r="H737" s="352"/>
      <c r="I737" s="353"/>
      <c r="J737" s="76">
        <f t="shared" si="4"/>
        <v>1</v>
      </c>
    </row>
    <row r="738" spans="1:10" x14ac:dyDescent="0.3">
      <c r="A738" s="256"/>
      <c r="B738" s="106"/>
      <c r="C738" s="107"/>
      <c r="D738" s="122" t="s">
        <v>768</v>
      </c>
      <c r="E738" s="107"/>
      <c r="F738" s="351">
        <v>1</v>
      </c>
      <c r="G738" s="352"/>
      <c r="H738" s="352"/>
      <c r="I738" s="353"/>
      <c r="J738" s="76">
        <f t="shared" si="4"/>
        <v>1</v>
      </c>
    </row>
    <row r="739" spans="1:10" x14ac:dyDescent="0.3">
      <c r="A739" s="256"/>
      <c r="B739" s="106"/>
      <c r="C739" s="107"/>
      <c r="D739" s="122" t="s">
        <v>769</v>
      </c>
      <c r="E739" s="107"/>
      <c r="F739" s="351">
        <v>1</v>
      </c>
      <c r="G739" s="352"/>
      <c r="H739" s="352"/>
      <c r="I739" s="353"/>
      <c r="J739" s="76">
        <f t="shared" si="4"/>
        <v>1</v>
      </c>
    </row>
    <row r="740" spans="1:10" x14ac:dyDescent="0.3">
      <c r="A740" s="256"/>
      <c r="B740" s="106"/>
      <c r="C740" s="107"/>
      <c r="D740" s="122" t="s">
        <v>770</v>
      </c>
      <c r="E740" s="107"/>
      <c r="F740" s="351">
        <v>1</v>
      </c>
      <c r="G740" s="352"/>
      <c r="H740" s="352"/>
      <c r="I740" s="353"/>
      <c r="J740" s="76">
        <f t="shared" si="4"/>
        <v>1</v>
      </c>
    </row>
    <row r="741" spans="1:10" x14ac:dyDescent="0.3">
      <c r="A741" s="256"/>
      <c r="B741" s="106"/>
      <c r="C741" s="107"/>
      <c r="D741" s="122" t="s">
        <v>771</v>
      </c>
      <c r="E741" s="107"/>
      <c r="F741" s="351">
        <v>1</v>
      </c>
      <c r="G741" s="352"/>
      <c r="H741" s="352"/>
      <c r="I741" s="353"/>
      <c r="J741" s="76">
        <f t="shared" si="4"/>
        <v>1</v>
      </c>
    </row>
    <row r="742" spans="1:10" x14ac:dyDescent="0.3">
      <c r="A742" s="256"/>
      <c r="B742" s="106"/>
      <c r="C742" s="107"/>
      <c r="D742" s="122" t="s">
        <v>772</v>
      </c>
      <c r="E742" s="107"/>
      <c r="F742" s="351">
        <v>1</v>
      </c>
      <c r="G742" s="352"/>
      <c r="H742" s="352"/>
      <c r="I742" s="353"/>
      <c r="J742" s="76">
        <f t="shared" si="4"/>
        <v>1</v>
      </c>
    </row>
    <row r="743" spans="1:10" x14ac:dyDescent="0.3">
      <c r="A743" s="256"/>
      <c r="B743" s="106"/>
      <c r="C743" s="107"/>
      <c r="D743" s="122" t="s">
        <v>773</v>
      </c>
      <c r="E743" s="107"/>
      <c r="F743" s="351">
        <v>1</v>
      </c>
      <c r="G743" s="352"/>
      <c r="H743" s="352"/>
      <c r="I743" s="353"/>
      <c r="J743" s="76">
        <f t="shared" si="4"/>
        <v>1</v>
      </c>
    </row>
    <row r="744" spans="1:10" x14ac:dyDescent="0.3">
      <c r="A744" s="256"/>
      <c r="B744" s="106"/>
      <c r="C744" s="107"/>
      <c r="D744" s="122" t="s">
        <v>774</v>
      </c>
      <c r="E744" s="107"/>
      <c r="F744" s="351">
        <v>1</v>
      </c>
      <c r="G744" s="352"/>
      <c r="H744" s="352"/>
      <c r="I744" s="353"/>
      <c r="J744" s="76">
        <f t="shared" si="4"/>
        <v>1</v>
      </c>
    </row>
    <row r="745" spans="1:10" x14ac:dyDescent="0.3">
      <c r="A745" s="256"/>
      <c r="B745" s="106"/>
      <c r="C745" s="107"/>
      <c r="D745" s="122" t="s">
        <v>775</v>
      </c>
      <c r="E745" s="107"/>
      <c r="F745" s="351">
        <v>1</v>
      </c>
      <c r="G745" s="352"/>
      <c r="H745" s="352"/>
      <c r="I745" s="353"/>
      <c r="J745" s="76">
        <f t="shared" si="4"/>
        <v>1</v>
      </c>
    </row>
    <row r="746" spans="1:10" x14ac:dyDescent="0.3">
      <c r="A746" s="256"/>
      <c r="B746" s="106"/>
      <c r="C746" s="107"/>
      <c r="D746" s="122" t="s">
        <v>776</v>
      </c>
      <c r="E746" s="107"/>
      <c r="F746" s="351">
        <v>1</v>
      </c>
      <c r="G746" s="352"/>
      <c r="H746" s="352"/>
      <c r="I746" s="353"/>
      <c r="J746" s="76">
        <f t="shared" si="4"/>
        <v>1</v>
      </c>
    </row>
    <row r="747" spans="1:10" x14ac:dyDescent="0.3">
      <c r="A747" s="256"/>
      <c r="B747" s="106"/>
      <c r="C747" s="107"/>
      <c r="D747" s="122" t="s">
        <v>777</v>
      </c>
      <c r="E747" s="107"/>
      <c r="F747" s="351">
        <v>1</v>
      </c>
      <c r="G747" s="352"/>
      <c r="H747" s="352"/>
      <c r="I747" s="353"/>
      <c r="J747" s="76">
        <f t="shared" si="4"/>
        <v>1</v>
      </c>
    </row>
    <row r="748" spans="1:10" x14ac:dyDescent="0.3">
      <c r="A748" s="256"/>
      <c r="B748" s="106"/>
      <c r="C748" s="107"/>
      <c r="D748" s="122" t="s">
        <v>778</v>
      </c>
      <c r="E748" s="107"/>
      <c r="F748" s="351">
        <v>1</v>
      </c>
      <c r="G748" s="352"/>
      <c r="H748" s="352"/>
      <c r="I748" s="353"/>
      <c r="J748" s="76">
        <f t="shared" si="4"/>
        <v>1</v>
      </c>
    </row>
    <row r="749" spans="1:10" x14ac:dyDescent="0.3">
      <c r="A749" s="256"/>
      <c r="B749" s="106"/>
      <c r="C749" s="107"/>
      <c r="D749" s="122" t="s">
        <v>779</v>
      </c>
      <c r="E749" s="107"/>
      <c r="F749" s="351">
        <v>1</v>
      </c>
      <c r="G749" s="352"/>
      <c r="H749" s="352"/>
      <c r="I749" s="353"/>
      <c r="J749" s="76">
        <f t="shared" si="4"/>
        <v>1</v>
      </c>
    </row>
    <row r="750" spans="1:10" x14ac:dyDescent="0.3">
      <c r="A750" s="256"/>
      <c r="B750" s="106"/>
      <c r="C750" s="107"/>
      <c r="D750" s="122" t="s">
        <v>780</v>
      </c>
      <c r="E750" s="107"/>
      <c r="F750" s="351">
        <v>1</v>
      </c>
      <c r="G750" s="352"/>
      <c r="H750" s="352"/>
      <c r="I750" s="353"/>
      <c r="J750" s="76">
        <f t="shared" si="4"/>
        <v>1</v>
      </c>
    </row>
    <row r="751" spans="1:10" x14ac:dyDescent="0.3">
      <c r="A751" s="256"/>
      <c r="B751" s="106"/>
      <c r="C751" s="107"/>
      <c r="D751" s="122" t="s">
        <v>781</v>
      </c>
      <c r="E751" s="107"/>
      <c r="F751" s="351">
        <v>1</v>
      </c>
      <c r="G751" s="352"/>
      <c r="H751" s="352"/>
      <c r="I751" s="353"/>
      <c r="J751" s="76">
        <f t="shared" si="4"/>
        <v>1</v>
      </c>
    </row>
    <row r="752" spans="1:10" x14ac:dyDescent="0.3">
      <c r="A752" s="256"/>
      <c r="B752" s="106"/>
      <c r="C752" s="107"/>
      <c r="D752" s="122" t="s">
        <v>782</v>
      </c>
      <c r="E752" s="107"/>
      <c r="F752" s="351">
        <v>1</v>
      </c>
      <c r="G752" s="352"/>
      <c r="H752" s="352"/>
      <c r="I752" s="353"/>
      <c r="J752" s="76">
        <f t="shared" si="4"/>
        <v>1</v>
      </c>
    </row>
    <row r="753" spans="1:10" x14ac:dyDescent="0.3">
      <c r="A753" s="256"/>
      <c r="B753" s="106"/>
      <c r="C753" s="107"/>
      <c r="D753" s="122" t="s">
        <v>783</v>
      </c>
      <c r="E753" s="107"/>
      <c r="F753" s="351">
        <v>1</v>
      </c>
      <c r="G753" s="352"/>
      <c r="H753" s="352"/>
      <c r="I753" s="353"/>
      <c r="J753" s="76">
        <f t="shared" si="4"/>
        <v>1</v>
      </c>
    </row>
    <row r="754" spans="1:10" x14ac:dyDescent="0.3">
      <c r="A754" s="256"/>
      <c r="B754" s="106"/>
      <c r="C754" s="107"/>
      <c r="D754" s="122" t="s">
        <v>784</v>
      </c>
      <c r="E754" s="107"/>
      <c r="F754" s="351">
        <v>1</v>
      </c>
      <c r="G754" s="352"/>
      <c r="H754" s="352"/>
      <c r="I754" s="353"/>
      <c r="J754" s="76">
        <f t="shared" si="4"/>
        <v>1</v>
      </c>
    </row>
    <row r="755" spans="1:10" x14ac:dyDescent="0.3">
      <c r="A755" s="256"/>
      <c r="B755" s="106"/>
      <c r="C755" s="107"/>
      <c r="D755" s="122" t="s">
        <v>785</v>
      </c>
      <c r="E755" s="107"/>
      <c r="F755" s="351">
        <v>1</v>
      </c>
      <c r="G755" s="352"/>
      <c r="H755" s="352"/>
      <c r="I755" s="353"/>
      <c r="J755" s="76">
        <f t="shared" si="4"/>
        <v>1</v>
      </c>
    </row>
    <row r="756" spans="1:10" x14ac:dyDescent="0.3">
      <c r="A756" s="256"/>
      <c r="B756" s="106"/>
      <c r="C756" s="107"/>
      <c r="D756" s="122" t="s">
        <v>786</v>
      </c>
      <c r="E756" s="107"/>
      <c r="F756" s="351">
        <v>1</v>
      </c>
      <c r="G756" s="352"/>
      <c r="H756" s="352"/>
      <c r="I756" s="353"/>
      <c r="J756" s="76">
        <f t="shared" si="4"/>
        <v>1</v>
      </c>
    </row>
    <row r="757" spans="1:10" x14ac:dyDescent="0.3">
      <c r="A757" s="256"/>
      <c r="B757" s="106"/>
      <c r="C757" s="107"/>
      <c r="D757" s="122" t="s">
        <v>787</v>
      </c>
      <c r="E757" s="107"/>
      <c r="F757" s="351">
        <v>1</v>
      </c>
      <c r="G757" s="352"/>
      <c r="H757" s="352"/>
      <c r="I757" s="353"/>
      <c r="J757" s="76">
        <f t="shared" ref="J757:J779" si="5">F757</f>
        <v>1</v>
      </c>
    </row>
    <row r="758" spans="1:10" x14ac:dyDescent="0.3">
      <c r="A758" s="256"/>
      <c r="B758" s="106"/>
      <c r="C758" s="107"/>
      <c r="D758" s="122" t="s">
        <v>788</v>
      </c>
      <c r="E758" s="107"/>
      <c r="F758" s="351">
        <v>1</v>
      </c>
      <c r="G758" s="352"/>
      <c r="H758" s="352"/>
      <c r="I758" s="353"/>
      <c r="J758" s="76">
        <f t="shared" si="5"/>
        <v>1</v>
      </c>
    </row>
    <row r="759" spans="1:10" x14ac:dyDescent="0.3">
      <c r="A759" s="256"/>
      <c r="B759" s="106"/>
      <c r="C759" s="107"/>
      <c r="D759" s="122" t="s">
        <v>789</v>
      </c>
      <c r="E759" s="107"/>
      <c r="F759" s="351">
        <v>1</v>
      </c>
      <c r="G759" s="352"/>
      <c r="H759" s="352"/>
      <c r="I759" s="353"/>
      <c r="J759" s="76">
        <f t="shared" si="5"/>
        <v>1</v>
      </c>
    </row>
    <row r="760" spans="1:10" x14ac:dyDescent="0.3">
      <c r="A760" s="256"/>
      <c r="B760" s="106"/>
      <c r="C760" s="107"/>
      <c r="D760" s="122" t="s">
        <v>790</v>
      </c>
      <c r="E760" s="107"/>
      <c r="F760" s="351">
        <v>1</v>
      </c>
      <c r="G760" s="352"/>
      <c r="H760" s="352"/>
      <c r="I760" s="353"/>
      <c r="J760" s="76">
        <f t="shared" si="5"/>
        <v>1</v>
      </c>
    </row>
    <row r="761" spans="1:10" x14ac:dyDescent="0.3">
      <c r="A761" s="256"/>
      <c r="B761" s="106"/>
      <c r="C761" s="107"/>
      <c r="D761" s="122" t="s">
        <v>791</v>
      </c>
      <c r="E761" s="107"/>
      <c r="F761" s="351">
        <v>1</v>
      </c>
      <c r="G761" s="352"/>
      <c r="H761" s="352"/>
      <c r="I761" s="353"/>
      <c r="J761" s="76">
        <f t="shared" si="5"/>
        <v>1</v>
      </c>
    </row>
    <row r="762" spans="1:10" x14ac:dyDescent="0.3">
      <c r="A762" s="256"/>
      <c r="B762" s="106"/>
      <c r="C762" s="107"/>
      <c r="D762" s="122" t="s">
        <v>792</v>
      </c>
      <c r="E762" s="107"/>
      <c r="F762" s="351">
        <v>1</v>
      </c>
      <c r="G762" s="352"/>
      <c r="H762" s="352"/>
      <c r="I762" s="353"/>
      <c r="J762" s="76">
        <f t="shared" si="5"/>
        <v>1</v>
      </c>
    </row>
    <row r="763" spans="1:10" x14ac:dyDescent="0.3">
      <c r="A763" s="256"/>
      <c r="B763" s="106"/>
      <c r="C763" s="107"/>
      <c r="D763" s="122" t="s">
        <v>793</v>
      </c>
      <c r="E763" s="107"/>
      <c r="F763" s="351">
        <v>1</v>
      </c>
      <c r="G763" s="352"/>
      <c r="H763" s="352"/>
      <c r="I763" s="353"/>
      <c r="J763" s="76">
        <f t="shared" si="5"/>
        <v>1</v>
      </c>
    </row>
    <row r="764" spans="1:10" x14ac:dyDescent="0.3">
      <c r="A764" s="256"/>
      <c r="B764" s="106"/>
      <c r="C764" s="107"/>
      <c r="D764" s="122" t="s">
        <v>794</v>
      </c>
      <c r="E764" s="107"/>
      <c r="F764" s="351">
        <v>1</v>
      </c>
      <c r="G764" s="352"/>
      <c r="H764" s="352"/>
      <c r="I764" s="353"/>
      <c r="J764" s="76">
        <f t="shared" si="5"/>
        <v>1</v>
      </c>
    </row>
    <row r="765" spans="1:10" x14ac:dyDescent="0.3">
      <c r="A765" s="256"/>
      <c r="B765" s="106"/>
      <c r="C765" s="107"/>
      <c r="D765" s="122" t="s">
        <v>795</v>
      </c>
      <c r="E765" s="107"/>
      <c r="F765" s="351">
        <v>1</v>
      </c>
      <c r="G765" s="352"/>
      <c r="H765" s="352"/>
      <c r="I765" s="353"/>
      <c r="J765" s="76">
        <f t="shared" si="5"/>
        <v>1</v>
      </c>
    </row>
    <row r="766" spans="1:10" x14ac:dyDescent="0.3">
      <c r="A766" s="256"/>
      <c r="B766" s="106"/>
      <c r="C766" s="107"/>
      <c r="D766" s="122" t="s">
        <v>796</v>
      </c>
      <c r="E766" s="107"/>
      <c r="F766" s="351">
        <v>1</v>
      </c>
      <c r="G766" s="352"/>
      <c r="H766" s="352"/>
      <c r="I766" s="353"/>
      <c r="J766" s="76">
        <f t="shared" si="5"/>
        <v>1</v>
      </c>
    </row>
    <row r="767" spans="1:10" x14ac:dyDescent="0.3">
      <c r="A767" s="256"/>
      <c r="B767" s="106"/>
      <c r="C767" s="107"/>
      <c r="D767" s="122" t="s">
        <v>797</v>
      </c>
      <c r="E767" s="107"/>
      <c r="F767" s="351">
        <v>1</v>
      </c>
      <c r="G767" s="352"/>
      <c r="H767" s="352"/>
      <c r="I767" s="353"/>
      <c r="J767" s="76">
        <f t="shared" si="5"/>
        <v>1</v>
      </c>
    </row>
    <row r="768" spans="1:10" x14ac:dyDescent="0.3">
      <c r="A768" s="256"/>
      <c r="B768" s="106"/>
      <c r="C768" s="107"/>
      <c r="D768" s="122" t="s">
        <v>798</v>
      </c>
      <c r="E768" s="107"/>
      <c r="F768" s="351">
        <v>1</v>
      </c>
      <c r="G768" s="352"/>
      <c r="H768" s="352"/>
      <c r="I768" s="353"/>
      <c r="J768" s="76">
        <f t="shared" si="5"/>
        <v>1</v>
      </c>
    </row>
    <row r="769" spans="1:10" x14ac:dyDescent="0.3">
      <c r="A769" s="256"/>
      <c r="B769" s="106"/>
      <c r="C769" s="107"/>
      <c r="D769" s="122" t="s">
        <v>799</v>
      </c>
      <c r="E769" s="107"/>
      <c r="F769" s="351">
        <v>1</v>
      </c>
      <c r="G769" s="352"/>
      <c r="H769" s="352"/>
      <c r="I769" s="353"/>
      <c r="J769" s="76">
        <f t="shared" si="5"/>
        <v>1</v>
      </c>
    </row>
    <row r="770" spans="1:10" x14ac:dyDescent="0.3">
      <c r="A770" s="256"/>
      <c r="B770" s="106"/>
      <c r="C770" s="107"/>
      <c r="D770" s="122" t="s">
        <v>800</v>
      </c>
      <c r="E770" s="107"/>
      <c r="F770" s="351">
        <v>1</v>
      </c>
      <c r="G770" s="352"/>
      <c r="H770" s="352"/>
      <c r="I770" s="353"/>
      <c r="J770" s="76">
        <f t="shared" si="5"/>
        <v>1</v>
      </c>
    </row>
    <row r="771" spans="1:10" x14ac:dyDescent="0.3">
      <c r="A771" s="256"/>
      <c r="B771" s="106"/>
      <c r="C771" s="107"/>
      <c r="D771" s="122" t="s">
        <v>801</v>
      </c>
      <c r="E771" s="107"/>
      <c r="F771" s="351">
        <v>1</v>
      </c>
      <c r="G771" s="352"/>
      <c r="H771" s="352"/>
      <c r="I771" s="353"/>
      <c r="J771" s="76">
        <f t="shared" si="5"/>
        <v>1</v>
      </c>
    </row>
    <row r="772" spans="1:10" x14ac:dyDescent="0.3">
      <c r="A772" s="256"/>
      <c r="B772" s="106"/>
      <c r="C772" s="107"/>
      <c r="D772" s="122" t="s">
        <v>802</v>
      </c>
      <c r="E772" s="107"/>
      <c r="F772" s="351">
        <v>1</v>
      </c>
      <c r="G772" s="352"/>
      <c r="H772" s="352"/>
      <c r="I772" s="353"/>
      <c r="J772" s="76">
        <f t="shared" si="5"/>
        <v>1</v>
      </c>
    </row>
    <row r="773" spans="1:10" x14ac:dyDescent="0.3">
      <c r="A773" s="256"/>
      <c r="B773" s="106"/>
      <c r="C773" s="107"/>
      <c r="D773" s="122" t="s">
        <v>803</v>
      </c>
      <c r="E773" s="107"/>
      <c r="F773" s="351">
        <v>1</v>
      </c>
      <c r="G773" s="352"/>
      <c r="H773" s="352"/>
      <c r="I773" s="353"/>
      <c r="J773" s="76">
        <f t="shared" si="5"/>
        <v>1</v>
      </c>
    </row>
    <row r="774" spans="1:10" x14ac:dyDescent="0.3">
      <c r="A774" s="256"/>
      <c r="B774" s="106"/>
      <c r="C774" s="107"/>
      <c r="D774" s="122" t="s">
        <v>804</v>
      </c>
      <c r="E774" s="107"/>
      <c r="F774" s="351">
        <v>1</v>
      </c>
      <c r="G774" s="352"/>
      <c r="H774" s="352"/>
      <c r="I774" s="353"/>
      <c r="J774" s="76">
        <f t="shared" si="5"/>
        <v>1</v>
      </c>
    </row>
    <row r="775" spans="1:10" x14ac:dyDescent="0.3">
      <c r="A775" s="256"/>
      <c r="B775" s="106"/>
      <c r="C775" s="107"/>
      <c r="D775" s="122" t="s">
        <v>805</v>
      </c>
      <c r="E775" s="107"/>
      <c r="F775" s="351">
        <v>1</v>
      </c>
      <c r="G775" s="352"/>
      <c r="H775" s="352"/>
      <c r="I775" s="353"/>
      <c r="J775" s="76">
        <f t="shared" si="5"/>
        <v>1</v>
      </c>
    </row>
    <row r="776" spans="1:10" x14ac:dyDescent="0.3">
      <c r="A776" s="256"/>
      <c r="B776" s="106"/>
      <c r="C776" s="107"/>
      <c r="D776" s="122" t="s">
        <v>806</v>
      </c>
      <c r="E776" s="107"/>
      <c r="F776" s="351">
        <v>1</v>
      </c>
      <c r="G776" s="352"/>
      <c r="H776" s="352"/>
      <c r="I776" s="353"/>
      <c r="J776" s="76">
        <f t="shared" si="5"/>
        <v>1</v>
      </c>
    </row>
    <row r="777" spans="1:10" x14ac:dyDescent="0.3">
      <c r="A777" s="256"/>
      <c r="B777" s="106"/>
      <c r="C777" s="107"/>
      <c r="D777" s="122" t="s">
        <v>807</v>
      </c>
      <c r="E777" s="107"/>
      <c r="F777" s="351">
        <v>1</v>
      </c>
      <c r="G777" s="352"/>
      <c r="H777" s="352"/>
      <c r="I777" s="353"/>
      <c r="J777" s="76">
        <f t="shared" si="5"/>
        <v>1</v>
      </c>
    </row>
    <row r="778" spans="1:10" x14ac:dyDescent="0.3">
      <c r="A778" s="256"/>
      <c r="B778" s="106"/>
      <c r="C778" s="107"/>
      <c r="D778" s="122" t="s">
        <v>808</v>
      </c>
      <c r="E778" s="107"/>
      <c r="F778" s="351">
        <v>1</v>
      </c>
      <c r="G778" s="352"/>
      <c r="H778" s="352"/>
      <c r="I778" s="353"/>
      <c r="J778" s="76">
        <f t="shared" si="5"/>
        <v>1</v>
      </c>
    </row>
    <row r="779" spans="1:10" x14ac:dyDescent="0.3">
      <c r="A779" s="256"/>
      <c r="B779" s="106"/>
      <c r="C779" s="107"/>
      <c r="D779" s="122" t="s">
        <v>809</v>
      </c>
      <c r="E779" s="107"/>
      <c r="F779" s="351">
        <v>1</v>
      </c>
      <c r="G779" s="352"/>
      <c r="H779" s="352"/>
      <c r="I779" s="353"/>
      <c r="J779" s="76">
        <f t="shared" si="5"/>
        <v>1</v>
      </c>
    </row>
    <row r="780" spans="1:10" ht="15" thickBot="1" x14ac:dyDescent="0.35">
      <c r="A780" s="364" t="s">
        <v>64</v>
      </c>
      <c r="B780" s="365"/>
      <c r="C780" s="365"/>
      <c r="D780" s="365"/>
      <c r="E780" s="365"/>
      <c r="F780" s="365"/>
      <c r="G780" s="365"/>
      <c r="H780" s="365"/>
      <c r="I780" s="366"/>
      <c r="J780" s="275">
        <f>SUM(J725:J779)</f>
        <v>55</v>
      </c>
    </row>
    <row r="781" spans="1:10" x14ac:dyDescent="0.3">
      <c r="A781" s="256" t="str">
        <f>ORÇAMENTO!A401</f>
        <v>14.2</v>
      </c>
      <c r="B781" s="106" t="str">
        <f>ORÇAMENTO!B401</f>
        <v>GOINFRA</v>
      </c>
      <c r="C781" s="107">
        <f>ORÇAMENTO!C401</f>
        <v>170111</v>
      </c>
      <c r="D781" s="122" t="str">
        <f>ORÇAMENTO!D401</f>
        <v>PORTA LISA 100X210 COM PORTAL E ALISAR SEM FERRAGENS</v>
      </c>
      <c r="E781" s="107" t="str">
        <f>ORÇAMENTO!F401</f>
        <v>und.</v>
      </c>
      <c r="F781" s="379" t="s">
        <v>89</v>
      </c>
      <c r="G781" s="449"/>
      <c r="H781" s="449"/>
      <c r="I781" s="380"/>
      <c r="J781" s="76" t="s">
        <v>86</v>
      </c>
    </row>
    <row r="782" spans="1:10" x14ac:dyDescent="0.3">
      <c r="A782" s="256"/>
      <c r="B782" s="106"/>
      <c r="C782" s="107"/>
      <c r="D782" s="122" t="s">
        <v>810</v>
      </c>
      <c r="E782" s="107"/>
      <c r="F782" s="351">
        <v>1</v>
      </c>
      <c r="G782" s="352"/>
      <c r="H782" s="352"/>
      <c r="I782" s="353"/>
      <c r="J782" s="76">
        <f>F782</f>
        <v>1</v>
      </c>
    </row>
    <row r="783" spans="1:10" x14ac:dyDescent="0.3">
      <c r="A783" s="256"/>
      <c r="B783" s="106"/>
      <c r="C783" s="107"/>
      <c r="D783" s="122" t="s">
        <v>811</v>
      </c>
      <c r="E783" s="107"/>
      <c r="F783" s="351">
        <v>1</v>
      </c>
      <c r="G783" s="352"/>
      <c r="H783" s="352"/>
      <c r="I783" s="353"/>
      <c r="J783" s="76">
        <f>F783</f>
        <v>1</v>
      </c>
    </row>
    <row r="784" spans="1:10" ht="15" thickBot="1" x14ac:dyDescent="0.35">
      <c r="A784" s="364" t="s">
        <v>64</v>
      </c>
      <c r="B784" s="365"/>
      <c r="C784" s="365"/>
      <c r="D784" s="365"/>
      <c r="E784" s="365"/>
      <c r="F784" s="365"/>
      <c r="G784" s="365"/>
      <c r="H784" s="365"/>
      <c r="I784" s="366"/>
      <c r="J784" s="275">
        <f>SUM(J782:J783)</f>
        <v>2</v>
      </c>
    </row>
    <row r="785" spans="1:12" ht="15" thickBot="1" x14ac:dyDescent="0.35">
      <c r="A785" s="415" t="s">
        <v>46</v>
      </c>
      <c r="B785" s="416"/>
      <c r="C785" s="416"/>
      <c r="D785" s="416"/>
      <c r="E785" s="416"/>
      <c r="F785" s="416"/>
      <c r="G785" s="416"/>
      <c r="H785" s="416"/>
      <c r="I785" s="416"/>
      <c r="J785" s="417"/>
    </row>
    <row r="786" spans="1:12" x14ac:dyDescent="0.3">
      <c r="A786" s="249">
        <v>15</v>
      </c>
      <c r="B786" s="87" t="s">
        <v>10</v>
      </c>
      <c r="C786" s="81">
        <v>180000</v>
      </c>
      <c r="D786" s="262" t="s">
        <v>47</v>
      </c>
      <c r="E786" s="95"/>
      <c r="F786" s="231"/>
      <c r="G786" s="231"/>
      <c r="H786" s="95"/>
      <c r="I786" s="95"/>
      <c r="J786" s="96"/>
    </row>
    <row r="787" spans="1:12" ht="28.8" x14ac:dyDescent="0.3">
      <c r="A787" s="256" t="str">
        <f>ORÇAMENTO!A405</f>
        <v>15.1</v>
      </c>
      <c r="B787" s="106" t="str">
        <f>ORÇAMENTO!B405</f>
        <v>GOINFRA</v>
      </c>
      <c r="C787" s="107">
        <f>ORÇAMENTO!C405</f>
        <v>180114</v>
      </c>
      <c r="D787" s="220" t="str">
        <f>ORÇAMENTO!D405</f>
        <v xml:space="preserve"> PORTA DE ABRIR ALUMÍNIO ANODIZADO EM VENEZIANA C/FERRAGENS (M.O.FAB.INC.MAT.) </v>
      </c>
      <c r="E787" s="107" t="str">
        <f>ORÇAMENTO!F405</f>
        <v xml:space="preserve">m2 </v>
      </c>
      <c r="F787" s="356" t="s">
        <v>117</v>
      </c>
      <c r="G787" s="357"/>
      <c r="H787" s="351" t="s">
        <v>100</v>
      </c>
      <c r="I787" s="353"/>
      <c r="J787" s="76" t="s">
        <v>86</v>
      </c>
    </row>
    <row r="788" spans="1:12" x14ac:dyDescent="0.3">
      <c r="A788" s="256"/>
      <c r="B788" s="106"/>
      <c r="C788" s="107"/>
      <c r="D788" s="220" t="s">
        <v>829</v>
      </c>
      <c r="E788" s="107"/>
      <c r="F788" s="356">
        <v>0.8</v>
      </c>
      <c r="G788" s="357"/>
      <c r="H788" s="351">
        <v>2.1</v>
      </c>
      <c r="I788" s="353"/>
      <c r="J788" s="76">
        <f t="shared" ref="J788:J793" si="6">H788*F788</f>
        <v>1.6800000000000002</v>
      </c>
    </row>
    <row r="789" spans="1:12" x14ac:dyDescent="0.3">
      <c r="A789" s="256"/>
      <c r="B789" s="106"/>
      <c r="C789" s="107"/>
      <c r="D789" s="220" t="s">
        <v>830</v>
      </c>
      <c r="E789" s="107"/>
      <c r="F789" s="356">
        <v>0.8</v>
      </c>
      <c r="G789" s="357"/>
      <c r="H789" s="351">
        <v>2.1</v>
      </c>
      <c r="I789" s="353"/>
      <c r="J789" s="76">
        <f t="shared" si="6"/>
        <v>1.6800000000000002</v>
      </c>
    </row>
    <row r="790" spans="1:12" x14ac:dyDescent="0.3">
      <c r="A790" s="256"/>
      <c r="B790" s="106"/>
      <c r="C790" s="107"/>
      <c r="D790" s="220" t="s">
        <v>831</v>
      </c>
      <c r="E790" s="107"/>
      <c r="F790" s="356">
        <v>0.8</v>
      </c>
      <c r="G790" s="357"/>
      <c r="H790" s="351">
        <v>2.1</v>
      </c>
      <c r="I790" s="353"/>
      <c r="J790" s="76">
        <f t="shared" si="6"/>
        <v>1.6800000000000002</v>
      </c>
    </row>
    <row r="791" spans="1:12" x14ac:dyDescent="0.3">
      <c r="A791" s="256"/>
      <c r="B791" s="106"/>
      <c r="C791" s="107"/>
      <c r="D791" s="220" t="s">
        <v>832</v>
      </c>
      <c r="E791" s="107"/>
      <c r="F791" s="356">
        <v>0.8</v>
      </c>
      <c r="G791" s="357"/>
      <c r="H791" s="351">
        <v>2.1</v>
      </c>
      <c r="I791" s="353"/>
      <c r="J791" s="76">
        <f t="shared" si="6"/>
        <v>1.6800000000000002</v>
      </c>
    </row>
    <row r="792" spans="1:12" x14ac:dyDescent="0.3">
      <c r="A792" s="256"/>
      <c r="B792" s="106"/>
      <c r="C792" s="107"/>
      <c r="D792" s="220" t="s">
        <v>779</v>
      </c>
      <c r="E792" s="107"/>
      <c r="F792" s="356">
        <v>0.8</v>
      </c>
      <c r="G792" s="357"/>
      <c r="H792" s="351">
        <v>2.1</v>
      </c>
      <c r="I792" s="353"/>
      <c r="J792" s="76">
        <f t="shared" si="6"/>
        <v>1.6800000000000002</v>
      </c>
    </row>
    <row r="793" spans="1:12" x14ac:dyDescent="0.3">
      <c r="A793" s="256"/>
      <c r="B793" s="106"/>
      <c r="C793" s="107"/>
      <c r="D793" s="220" t="s">
        <v>808</v>
      </c>
      <c r="E793" s="107"/>
      <c r="F793" s="356">
        <v>0.8</v>
      </c>
      <c r="G793" s="357"/>
      <c r="H793" s="351">
        <v>2.1</v>
      </c>
      <c r="I793" s="353"/>
      <c r="J793" s="76">
        <f t="shared" si="6"/>
        <v>1.6800000000000002</v>
      </c>
    </row>
    <row r="794" spans="1:12" x14ac:dyDescent="0.3">
      <c r="A794" s="256"/>
      <c r="B794" s="106"/>
      <c r="C794" s="107"/>
      <c r="D794" s="220" t="s">
        <v>833</v>
      </c>
      <c r="E794" s="107"/>
      <c r="F794" s="356" t="s">
        <v>834</v>
      </c>
      <c r="G794" s="357"/>
      <c r="H794" s="351">
        <v>2.1</v>
      </c>
      <c r="I794" s="353"/>
      <c r="J794" s="76">
        <f>2*0.8*2.1</f>
        <v>3.3600000000000003</v>
      </c>
    </row>
    <row r="795" spans="1:12" x14ac:dyDescent="0.3">
      <c r="A795" s="256"/>
      <c r="B795" s="106"/>
      <c r="C795" s="107"/>
      <c r="D795" s="220" t="s">
        <v>835</v>
      </c>
      <c r="E795" s="107"/>
      <c r="F795" s="356" t="s">
        <v>834</v>
      </c>
      <c r="G795" s="357"/>
      <c r="H795" s="351">
        <v>2.1</v>
      </c>
      <c r="I795" s="353"/>
      <c r="J795" s="76">
        <f>2*0.8*2.1</f>
        <v>3.3600000000000003</v>
      </c>
    </row>
    <row r="796" spans="1:12" x14ac:dyDescent="0.3">
      <c r="A796" s="256"/>
      <c r="B796" s="106"/>
      <c r="C796" s="107"/>
      <c r="D796" s="220" t="s">
        <v>616</v>
      </c>
      <c r="E796" s="107"/>
      <c r="F796" s="356" t="s">
        <v>836</v>
      </c>
      <c r="G796" s="357"/>
      <c r="H796" s="351">
        <v>2.1</v>
      </c>
      <c r="I796" s="353"/>
      <c r="J796" s="76">
        <f>2*2.1*1</f>
        <v>4.2</v>
      </c>
    </row>
    <row r="797" spans="1:12" ht="15" thickBot="1" x14ac:dyDescent="0.35">
      <c r="A797" s="364" t="s">
        <v>64</v>
      </c>
      <c r="B797" s="365"/>
      <c r="C797" s="365"/>
      <c r="D797" s="365"/>
      <c r="E797" s="365"/>
      <c r="F797" s="365"/>
      <c r="G797" s="365"/>
      <c r="H797" s="365"/>
      <c r="I797" s="366"/>
      <c r="J797" s="275">
        <f>SUM(J788:J796)</f>
        <v>21</v>
      </c>
    </row>
    <row r="798" spans="1:12" x14ac:dyDescent="0.3">
      <c r="A798" s="256" t="str">
        <f>ORÇAMENTO!A406</f>
        <v>15.2</v>
      </c>
      <c r="B798" s="106" t="str">
        <f>ORÇAMENTO!B406</f>
        <v>GOINFRA</v>
      </c>
      <c r="C798" s="107">
        <f>ORÇAMENTO!C406</f>
        <v>180401</v>
      </c>
      <c r="D798" s="122" t="str">
        <f>ORÇAMENTO!D406</f>
        <v>ESQ.DE CORRER CHAPA/VIDRO J9/J10/J12/J13 C/FERRAGENS</v>
      </c>
      <c r="E798" s="107" t="str">
        <f>ORÇAMENTO!F406</f>
        <v>m2</v>
      </c>
      <c r="F798" s="381" t="s">
        <v>101</v>
      </c>
      <c r="G798" s="382"/>
      <c r="H798" s="379" t="s">
        <v>118</v>
      </c>
      <c r="I798" s="380"/>
      <c r="J798" s="76" t="s">
        <v>837</v>
      </c>
    </row>
    <row r="799" spans="1:12" x14ac:dyDescent="0.3">
      <c r="A799" s="256"/>
      <c r="B799" s="106"/>
      <c r="C799" s="107"/>
      <c r="D799" s="220" t="s">
        <v>838</v>
      </c>
      <c r="E799" s="107"/>
      <c r="F799" s="356" t="s">
        <v>839</v>
      </c>
      <c r="G799" s="357"/>
      <c r="H799" s="351">
        <v>0.5</v>
      </c>
      <c r="I799" s="353"/>
      <c r="J799" s="76">
        <f>7*1.6*0.5</f>
        <v>5.6000000000000005</v>
      </c>
    </row>
    <row r="800" spans="1:12" x14ac:dyDescent="0.3">
      <c r="A800" s="256"/>
      <c r="B800" s="106"/>
      <c r="C800" s="107"/>
      <c r="D800" s="220" t="s">
        <v>840</v>
      </c>
      <c r="E800" s="107"/>
      <c r="F800" s="356">
        <v>1.6</v>
      </c>
      <c r="G800" s="357"/>
      <c r="H800" s="351">
        <v>0.5</v>
      </c>
      <c r="I800" s="353"/>
      <c r="J800" s="76">
        <f>H800*F800</f>
        <v>0.8</v>
      </c>
      <c r="L800" s="108"/>
    </row>
    <row r="801" spans="1:10" x14ac:dyDescent="0.3">
      <c r="A801" s="256"/>
      <c r="B801" s="106"/>
      <c r="C801" s="107"/>
      <c r="D801" s="220" t="s">
        <v>841</v>
      </c>
      <c r="E801" s="107"/>
      <c r="F801" s="356">
        <v>1.6</v>
      </c>
      <c r="G801" s="357"/>
      <c r="H801" s="351">
        <v>0.5</v>
      </c>
      <c r="I801" s="353"/>
      <c r="J801" s="76">
        <f t="shared" ref="J801:J806" si="7">H801*F801</f>
        <v>0.8</v>
      </c>
    </row>
    <row r="802" spans="1:10" x14ac:dyDescent="0.3">
      <c r="A802" s="256"/>
      <c r="B802" s="106"/>
      <c r="C802" s="107"/>
      <c r="D802" s="220" t="s">
        <v>842</v>
      </c>
      <c r="E802" s="107"/>
      <c r="F802" s="356">
        <v>1.6</v>
      </c>
      <c r="G802" s="357"/>
      <c r="H802" s="351">
        <v>0.5</v>
      </c>
      <c r="I802" s="353"/>
      <c r="J802" s="76">
        <f t="shared" si="7"/>
        <v>0.8</v>
      </c>
    </row>
    <row r="803" spans="1:10" x14ac:dyDescent="0.3">
      <c r="A803" s="256"/>
      <c r="B803" s="106"/>
      <c r="C803" s="107"/>
      <c r="D803" s="220" t="s">
        <v>808</v>
      </c>
      <c r="E803" s="107"/>
      <c r="F803" s="356">
        <v>1.6</v>
      </c>
      <c r="G803" s="357"/>
      <c r="H803" s="351">
        <v>0.5</v>
      </c>
      <c r="I803" s="353"/>
      <c r="J803" s="76">
        <f t="shared" si="7"/>
        <v>0.8</v>
      </c>
    </row>
    <row r="804" spans="1:10" x14ac:dyDescent="0.3">
      <c r="A804" s="256"/>
      <c r="B804" s="106"/>
      <c r="C804" s="107"/>
      <c r="D804" s="220" t="s">
        <v>832</v>
      </c>
      <c r="E804" s="107"/>
      <c r="F804" s="356" t="s">
        <v>843</v>
      </c>
      <c r="G804" s="357"/>
      <c r="H804" s="351">
        <v>0.5</v>
      </c>
      <c r="I804" s="353"/>
      <c r="J804" s="76">
        <f>H804*2*1.6</f>
        <v>1.6</v>
      </c>
    </row>
    <row r="805" spans="1:10" x14ac:dyDescent="0.3">
      <c r="A805" s="256"/>
      <c r="B805" s="106"/>
      <c r="C805" s="107"/>
      <c r="D805" s="220" t="s">
        <v>829</v>
      </c>
      <c r="E805" s="107"/>
      <c r="F805" s="356">
        <v>1.6</v>
      </c>
      <c r="G805" s="357"/>
      <c r="H805" s="351">
        <v>0.5</v>
      </c>
      <c r="I805" s="353"/>
      <c r="J805" s="76">
        <f t="shared" si="7"/>
        <v>0.8</v>
      </c>
    </row>
    <row r="806" spans="1:10" x14ac:dyDescent="0.3">
      <c r="A806" s="256"/>
      <c r="B806" s="106"/>
      <c r="C806" s="107"/>
      <c r="D806" s="220" t="s">
        <v>844</v>
      </c>
      <c r="E806" s="107"/>
      <c r="F806" s="356">
        <v>1.6</v>
      </c>
      <c r="G806" s="357"/>
      <c r="H806" s="351">
        <v>0.5</v>
      </c>
      <c r="I806" s="353"/>
      <c r="J806" s="76">
        <f t="shared" si="7"/>
        <v>0.8</v>
      </c>
    </row>
    <row r="807" spans="1:10" ht="15" thickBot="1" x14ac:dyDescent="0.35">
      <c r="A807" s="364" t="s">
        <v>64</v>
      </c>
      <c r="B807" s="365"/>
      <c r="C807" s="365"/>
      <c r="D807" s="365"/>
      <c r="E807" s="365"/>
      <c r="F807" s="365"/>
      <c r="G807" s="365"/>
      <c r="H807" s="365"/>
      <c r="I807" s="366"/>
      <c r="J807" s="275">
        <f>SUM(J799:J806)</f>
        <v>12.000000000000002</v>
      </c>
    </row>
    <row r="808" spans="1:10" s="109" customFormat="1" x14ac:dyDescent="0.3">
      <c r="A808" s="247" t="str">
        <f>ORÇAMENTO!A407</f>
        <v>15.3</v>
      </c>
      <c r="B808" s="73" t="str">
        <f>ORÇAMENTO!B407</f>
        <v>GOINFRA</v>
      </c>
      <c r="C808" s="74">
        <f>ORÇAMENTO!C407</f>
        <v>180401</v>
      </c>
      <c r="D808" s="86" t="str">
        <f>ORÇAMENTO!D407</f>
        <v>ESQ.DE CORRER CHAPA/VIDRO J9/J10/J12/J13 C/FERRAGENS</v>
      </c>
      <c r="E808" s="74" t="str">
        <f>ORÇAMENTO!F407</f>
        <v>m2</v>
      </c>
      <c r="F808" s="381" t="s">
        <v>101</v>
      </c>
      <c r="G808" s="382"/>
      <c r="H808" s="379" t="s">
        <v>118</v>
      </c>
      <c r="I808" s="380"/>
      <c r="J808" s="76" t="s">
        <v>837</v>
      </c>
    </row>
    <row r="809" spans="1:10" s="109" customFormat="1" x14ac:dyDescent="0.3">
      <c r="A809" s="248"/>
      <c r="B809" s="83"/>
      <c r="C809" s="84"/>
      <c r="D809" s="218" t="s">
        <v>798</v>
      </c>
      <c r="E809" s="110"/>
      <c r="F809" s="358">
        <v>1.6</v>
      </c>
      <c r="G809" s="359"/>
      <c r="H809" s="354">
        <v>1.1000000000000001</v>
      </c>
      <c r="I809" s="355"/>
      <c r="J809" s="76">
        <f>F809*H809</f>
        <v>1.7600000000000002</v>
      </c>
    </row>
    <row r="810" spans="1:10" s="109" customFormat="1" x14ac:dyDescent="0.3">
      <c r="A810" s="247"/>
      <c r="B810" s="73"/>
      <c r="C810" s="74"/>
      <c r="D810" s="86" t="s">
        <v>799</v>
      </c>
      <c r="E810" s="74"/>
      <c r="F810" s="358">
        <v>1.6</v>
      </c>
      <c r="G810" s="359"/>
      <c r="H810" s="354">
        <v>1.1000000000000001</v>
      </c>
      <c r="I810" s="355"/>
      <c r="J810" s="76">
        <f t="shared" ref="J810:J841" si="8">F810*H810</f>
        <v>1.7600000000000002</v>
      </c>
    </row>
    <row r="811" spans="1:10" s="109" customFormat="1" x14ac:dyDescent="0.3">
      <c r="A811" s="247"/>
      <c r="B811" s="73"/>
      <c r="C811" s="74"/>
      <c r="D811" s="86" t="s">
        <v>800</v>
      </c>
      <c r="E811" s="74"/>
      <c r="F811" s="358">
        <v>1.6</v>
      </c>
      <c r="G811" s="359"/>
      <c r="H811" s="354">
        <v>1.1000000000000001</v>
      </c>
      <c r="I811" s="355"/>
      <c r="J811" s="76">
        <f t="shared" si="8"/>
        <v>1.7600000000000002</v>
      </c>
    </row>
    <row r="812" spans="1:10" s="109" customFormat="1" x14ac:dyDescent="0.3">
      <c r="A812" s="247"/>
      <c r="B812" s="73"/>
      <c r="C812" s="74"/>
      <c r="D812" s="86" t="s">
        <v>801</v>
      </c>
      <c r="E812" s="74"/>
      <c r="F812" s="358">
        <v>1.6</v>
      </c>
      <c r="G812" s="359"/>
      <c r="H812" s="354">
        <v>1.1000000000000001</v>
      </c>
      <c r="I812" s="355"/>
      <c r="J812" s="76">
        <f t="shared" si="8"/>
        <v>1.7600000000000002</v>
      </c>
    </row>
    <row r="813" spans="1:10" s="109" customFormat="1" x14ac:dyDescent="0.3">
      <c r="A813" s="247"/>
      <c r="B813" s="73"/>
      <c r="C813" s="74"/>
      <c r="D813" s="86" t="s">
        <v>802</v>
      </c>
      <c r="E813" s="74"/>
      <c r="F813" s="358">
        <v>1.6</v>
      </c>
      <c r="G813" s="359"/>
      <c r="H813" s="354">
        <v>1.1000000000000001</v>
      </c>
      <c r="I813" s="355"/>
      <c r="J813" s="76">
        <f t="shared" si="8"/>
        <v>1.7600000000000002</v>
      </c>
    </row>
    <row r="814" spans="1:10" s="109" customFormat="1" x14ac:dyDescent="0.3">
      <c r="A814" s="247"/>
      <c r="B814" s="73"/>
      <c r="C814" s="74"/>
      <c r="D814" s="86" t="s">
        <v>803</v>
      </c>
      <c r="E814" s="74"/>
      <c r="F814" s="358">
        <v>1.6</v>
      </c>
      <c r="G814" s="359"/>
      <c r="H814" s="354">
        <v>1.1000000000000001</v>
      </c>
      <c r="I814" s="355"/>
      <c r="J814" s="76">
        <f t="shared" si="8"/>
        <v>1.7600000000000002</v>
      </c>
    </row>
    <row r="815" spans="1:10" s="109" customFormat="1" x14ac:dyDescent="0.3">
      <c r="A815" s="247"/>
      <c r="B815" s="73"/>
      <c r="C815" s="74"/>
      <c r="D815" s="86" t="s">
        <v>804</v>
      </c>
      <c r="E815" s="74"/>
      <c r="F815" s="358">
        <v>1.6</v>
      </c>
      <c r="G815" s="359"/>
      <c r="H815" s="354">
        <v>1.1000000000000001</v>
      </c>
      <c r="I815" s="355"/>
      <c r="J815" s="76">
        <f t="shared" si="8"/>
        <v>1.7600000000000002</v>
      </c>
    </row>
    <row r="816" spans="1:10" s="109" customFormat="1" x14ac:dyDescent="0.3">
      <c r="A816" s="247"/>
      <c r="B816" s="73"/>
      <c r="C816" s="74"/>
      <c r="D816" s="86" t="s">
        <v>795</v>
      </c>
      <c r="E816" s="74"/>
      <c r="F816" s="358">
        <v>1.6</v>
      </c>
      <c r="G816" s="359"/>
      <c r="H816" s="354">
        <v>1.1000000000000001</v>
      </c>
      <c r="I816" s="355"/>
      <c r="J816" s="76">
        <f t="shared" si="8"/>
        <v>1.7600000000000002</v>
      </c>
    </row>
    <row r="817" spans="1:10" s="109" customFormat="1" x14ac:dyDescent="0.3">
      <c r="A817" s="247"/>
      <c r="B817" s="73"/>
      <c r="C817" s="74"/>
      <c r="D817" s="86" t="s">
        <v>794</v>
      </c>
      <c r="E817" s="74"/>
      <c r="F817" s="358">
        <v>1.6</v>
      </c>
      <c r="G817" s="359"/>
      <c r="H817" s="354">
        <v>1.1000000000000001</v>
      </c>
      <c r="I817" s="355"/>
      <c r="J817" s="76">
        <f t="shared" si="8"/>
        <v>1.7600000000000002</v>
      </c>
    </row>
    <row r="818" spans="1:10" s="109" customFormat="1" x14ac:dyDescent="0.3">
      <c r="A818" s="247"/>
      <c r="B818" s="73"/>
      <c r="C818" s="74"/>
      <c r="D818" s="86" t="s">
        <v>793</v>
      </c>
      <c r="E818" s="74"/>
      <c r="F818" s="358">
        <v>1.6</v>
      </c>
      <c r="G818" s="359"/>
      <c r="H818" s="354">
        <v>1.1000000000000001</v>
      </c>
      <c r="I818" s="355"/>
      <c r="J818" s="76">
        <f t="shared" si="8"/>
        <v>1.7600000000000002</v>
      </c>
    </row>
    <row r="819" spans="1:10" s="109" customFormat="1" x14ac:dyDescent="0.3">
      <c r="A819" s="247"/>
      <c r="B819" s="73"/>
      <c r="C819" s="74"/>
      <c r="D819" s="86" t="s">
        <v>845</v>
      </c>
      <c r="E819" s="74"/>
      <c r="F819" s="358">
        <v>1.6</v>
      </c>
      <c r="G819" s="359"/>
      <c r="H819" s="354">
        <v>1.1000000000000001</v>
      </c>
      <c r="I819" s="355"/>
      <c r="J819" s="76">
        <f t="shared" si="8"/>
        <v>1.7600000000000002</v>
      </c>
    </row>
    <row r="820" spans="1:10" s="109" customFormat="1" x14ac:dyDescent="0.3">
      <c r="A820" s="247"/>
      <c r="B820" s="73"/>
      <c r="C820" s="74"/>
      <c r="D820" s="86" t="s">
        <v>846</v>
      </c>
      <c r="E820" s="74"/>
      <c r="F820" s="358">
        <v>1.6</v>
      </c>
      <c r="G820" s="359"/>
      <c r="H820" s="354">
        <v>1.1000000000000001</v>
      </c>
      <c r="I820" s="355"/>
      <c r="J820" s="76">
        <f t="shared" si="8"/>
        <v>1.7600000000000002</v>
      </c>
    </row>
    <row r="821" spans="1:10" s="109" customFormat="1" x14ac:dyDescent="0.3">
      <c r="A821" s="247"/>
      <c r="B821" s="73"/>
      <c r="C821" s="74"/>
      <c r="D821" s="86" t="s">
        <v>847</v>
      </c>
      <c r="E821" s="74"/>
      <c r="F821" s="358" t="s">
        <v>848</v>
      </c>
      <c r="G821" s="359"/>
      <c r="H821" s="354">
        <v>1.1000000000000001</v>
      </c>
      <c r="I821" s="355"/>
      <c r="J821" s="76">
        <f>3*1.6*1.1</f>
        <v>5.2800000000000011</v>
      </c>
    </row>
    <row r="822" spans="1:10" s="109" customFormat="1" x14ac:dyDescent="0.3">
      <c r="A822" s="247"/>
      <c r="B822" s="73"/>
      <c r="C822" s="74"/>
      <c r="D822" s="86" t="s">
        <v>849</v>
      </c>
      <c r="E822" s="74"/>
      <c r="F822" s="358">
        <v>1.7</v>
      </c>
      <c r="G822" s="359"/>
      <c r="H822" s="354">
        <v>1.1000000000000001</v>
      </c>
      <c r="I822" s="355"/>
      <c r="J822" s="76">
        <f t="shared" si="8"/>
        <v>1.87</v>
      </c>
    </row>
    <row r="823" spans="1:10" s="109" customFormat="1" x14ac:dyDescent="0.3">
      <c r="A823" s="247"/>
      <c r="B823" s="73"/>
      <c r="C823" s="74"/>
      <c r="D823" s="86" t="s">
        <v>756</v>
      </c>
      <c r="E823" s="74"/>
      <c r="F823" s="358">
        <v>1.8</v>
      </c>
      <c r="G823" s="359"/>
      <c r="H823" s="354">
        <v>1.1000000000000001</v>
      </c>
      <c r="I823" s="355"/>
      <c r="J823" s="76">
        <f t="shared" si="8"/>
        <v>1.9800000000000002</v>
      </c>
    </row>
    <row r="824" spans="1:10" s="109" customFormat="1" x14ac:dyDescent="0.3">
      <c r="A824" s="247"/>
      <c r="B824" s="73"/>
      <c r="C824" s="74"/>
      <c r="D824" s="86" t="s">
        <v>850</v>
      </c>
      <c r="E824" s="74"/>
      <c r="F824" s="358">
        <v>1.8</v>
      </c>
      <c r="G824" s="359"/>
      <c r="H824" s="354">
        <v>1.1000000000000001</v>
      </c>
      <c r="I824" s="355"/>
      <c r="J824" s="76">
        <f t="shared" si="8"/>
        <v>1.9800000000000002</v>
      </c>
    </row>
    <row r="825" spans="1:10" s="109" customFormat="1" x14ac:dyDescent="0.3">
      <c r="A825" s="247"/>
      <c r="B825" s="73"/>
      <c r="C825" s="74"/>
      <c r="D825" s="86" t="s">
        <v>758</v>
      </c>
      <c r="E825" s="74"/>
      <c r="F825" s="358">
        <v>1.8</v>
      </c>
      <c r="G825" s="359"/>
      <c r="H825" s="354">
        <v>1.1000000000000001</v>
      </c>
      <c r="I825" s="355"/>
      <c r="J825" s="76">
        <f t="shared" si="8"/>
        <v>1.9800000000000002</v>
      </c>
    </row>
    <row r="826" spans="1:10" s="109" customFormat="1" x14ac:dyDescent="0.3">
      <c r="A826" s="247"/>
      <c r="B826" s="73"/>
      <c r="C826" s="74"/>
      <c r="D826" s="86" t="s">
        <v>759</v>
      </c>
      <c r="E826" s="74"/>
      <c r="F826" s="358">
        <v>1.8</v>
      </c>
      <c r="G826" s="359"/>
      <c r="H826" s="354">
        <v>1.1000000000000001</v>
      </c>
      <c r="I826" s="355"/>
      <c r="J826" s="76">
        <f t="shared" si="8"/>
        <v>1.9800000000000002</v>
      </c>
    </row>
    <row r="827" spans="1:10" s="109" customFormat="1" x14ac:dyDescent="0.3">
      <c r="A827" s="247"/>
      <c r="B827" s="73"/>
      <c r="C827" s="74"/>
      <c r="D827" s="86" t="s">
        <v>760</v>
      </c>
      <c r="E827" s="74"/>
      <c r="F827" s="358">
        <v>1.8</v>
      </c>
      <c r="G827" s="359"/>
      <c r="H827" s="354">
        <v>1.1000000000000001</v>
      </c>
      <c r="I827" s="355"/>
      <c r="J827" s="76">
        <f t="shared" si="8"/>
        <v>1.9800000000000002</v>
      </c>
    </row>
    <row r="828" spans="1:10" s="109" customFormat="1" x14ac:dyDescent="0.3">
      <c r="A828" s="247"/>
      <c r="B828" s="73"/>
      <c r="C828" s="74"/>
      <c r="D828" s="86" t="s">
        <v>761</v>
      </c>
      <c r="E828" s="74"/>
      <c r="F828" s="358">
        <v>1.8</v>
      </c>
      <c r="G828" s="359"/>
      <c r="H828" s="354">
        <v>1.1000000000000001</v>
      </c>
      <c r="I828" s="355"/>
      <c r="J828" s="76">
        <f t="shared" si="8"/>
        <v>1.9800000000000002</v>
      </c>
    </row>
    <row r="829" spans="1:10" s="109" customFormat="1" x14ac:dyDescent="0.3">
      <c r="A829" s="247"/>
      <c r="B829" s="73"/>
      <c r="C829" s="74"/>
      <c r="D829" s="86" t="s">
        <v>762</v>
      </c>
      <c r="E829" s="74"/>
      <c r="F829" s="358">
        <v>1.8</v>
      </c>
      <c r="G829" s="359"/>
      <c r="H829" s="354">
        <v>1.1000000000000001</v>
      </c>
      <c r="I829" s="355"/>
      <c r="J829" s="76">
        <f t="shared" si="8"/>
        <v>1.9800000000000002</v>
      </c>
    </row>
    <row r="830" spans="1:10" s="109" customFormat="1" x14ac:dyDescent="0.3">
      <c r="A830" s="247"/>
      <c r="B830" s="73"/>
      <c r="C830" s="74"/>
      <c r="D830" s="86" t="s">
        <v>763</v>
      </c>
      <c r="E830" s="74"/>
      <c r="F830" s="358">
        <v>1.8</v>
      </c>
      <c r="G830" s="359"/>
      <c r="H830" s="354">
        <v>1.1000000000000001</v>
      </c>
      <c r="I830" s="355"/>
      <c r="J830" s="76">
        <f t="shared" si="8"/>
        <v>1.9800000000000002</v>
      </c>
    </row>
    <row r="831" spans="1:10" s="109" customFormat="1" x14ac:dyDescent="0.3">
      <c r="A831" s="247"/>
      <c r="B831" s="73"/>
      <c r="C831" s="74"/>
      <c r="D831" s="86" t="s">
        <v>764</v>
      </c>
      <c r="E831" s="74"/>
      <c r="F831" s="358">
        <v>1.8</v>
      </c>
      <c r="G831" s="359"/>
      <c r="H831" s="354">
        <v>1.1000000000000001</v>
      </c>
      <c r="I831" s="355"/>
      <c r="J831" s="76">
        <f t="shared" si="8"/>
        <v>1.9800000000000002</v>
      </c>
    </row>
    <row r="832" spans="1:10" s="109" customFormat="1" x14ac:dyDescent="0.3">
      <c r="A832" s="247"/>
      <c r="B832" s="73"/>
      <c r="C832" s="74"/>
      <c r="D832" s="86" t="s">
        <v>765</v>
      </c>
      <c r="E832" s="74"/>
      <c r="F832" s="358">
        <v>1.8</v>
      </c>
      <c r="G832" s="359"/>
      <c r="H832" s="354">
        <v>1.1000000000000001</v>
      </c>
      <c r="I832" s="355"/>
      <c r="J832" s="76">
        <f t="shared" si="8"/>
        <v>1.9800000000000002</v>
      </c>
    </row>
    <row r="833" spans="1:10" s="109" customFormat="1" x14ac:dyDescent="0.3">
      <c r="A833" s="247"/>
      <c r="B833" s="73"/>
      <c r="C833" s="74"/>
      <c r="D833" s="86" t="s">
        <v>766</v>
      </c>
      <c r="E833" s="74"/>
      <c r="F833" s="358">
        <v>1.8</v>
      </c>
      <c r="G833" s="359"/>
      <c r="H833" s="354">
        <v>1.1000000000000001</v>
      </c>
      <c r="I833" s="355"/>
      <c r="J833" s="76">
        <f t="shared" si="8"/>
        <v>1.9800000000000002</v>
      </c>
    </row>
    <row r="834" spans="1:10" s="109" customFormat="1" x14ac:dyDescent="0.3">
      <c r="A834" s="247"/>
      <c r="B834" s="73"/>
      <c r="C834" s="74"/>
      <c r="D834" s="86" t="s">
        <v>767</v>
      </c>
      <c r="E834" s="74"/>
      <c r="F834" s="358">
        <v>1.8</v>
      </c>
      <c r="G834" s="359"/>
      <c r="H834" s="354">
        <v>1.1000000000000001</v>
      </c>
      <c r="I834" s="355"/>
      <c r="J834" s="76">
        <f t="shared" si="8"/>
        <v>1.9800000000000002</v>
      </c>
    </row>
    <row r="835" spans="1:10" s="109" customFormat="1" x14ac:dyDescent="0.3">
      <c r="A835" s="247"/>
      <c r="B835" s="73"/>
      <c r="C835" s="74"/>
      <c r="D835" s="86" t="s">
        <v>768</v>
      </c>
      <c r="E835" s="74"/>
      <c r="F835" s="358">
        <v>1.8</v>
      </c>
      <c r="G835" s="359"/>
      <c r="H835" s="354">
        <v>1.1000000000000001</v>
      </c>
      <c r="I835" s="355"/>
      <c r="J835" s="76">
        <f t="shared" si="8"/>
        <v>1.9800000000000002</v>
      </c>
    </row>
    <row r="836" spans="1:10" s="109" customFormat="1" x14ac:dyDescent="0.3">
      <c r="A836" s="247"/>
      <c r="B836" s="73"/>
      <c r="C836" s="74"/>
      <c r="D836" s="86" t="s">
        <v>769</v>
      </c>
      <c r="E836" s="74"/>
      <c r="F836" s="358">
        <v>1.8</v>
      </c>
      <c r="G836" s="359"/>
      <c r="H836" s="354">
        <v>1.1000000000000001</v>
      </c>
      <c r="I836" s="355"/>
      <c r="J836" s="76">
        <f t="shared" si="8"/>
        <v>1.9800000000000002</v>
      </c>
    </row>
    <row r="837" spans="1:10" s="109" customFormat="1" x14ac:dyDescent="0.3">
      <c r="A837" s="247"/>
      <c r="B837" s="73"/>
      <c r="C837" s="74"/>
      <c r="D837" s="86" t="s">
        <v>770</v>
      </c>
      <c r="E837" s="74"/>
      <c r="F837" s="358">
        <v>1.8</v>
      </c>
      <c r="G837" s="359"/>
      <c r="H837" s="354">
        <v>1.1000000000000001</v>
      </c>
      <c r="I837" s="355"/>
      <c r="J837" s="76">
        <f t="shared" si="8"/>
        <v>1.9800000000000002</v>
      </c>
    </row>
    <row r="838" spans="1:10" s="109" customFormat="1" x14ac:dyDescent="0.3">
      <c r="A838" s="247"/>
      <c r="B838" s="73"/>
      <c r="C838" s="74"/>
      <c r="D838" s="86" t="s">
        <v>771</v>
      </c>
      <c r="E838" s="74"/>
      <c r="F838" s="358">
        <v>1.8</v>
      </c>
      <c r="G838" s="359"/>
      <c r="H838" s="354">
        <v>1.1000000000000001</v>
      </c>
      <c r="I838" s="355"/>
      <c r="J838" s="76">
        <f t="shared" si="8"/>
        <v>1.9800000000000002</v>
      </c>
    </row>
    <row r="839" spans="1:10" s="109" customFormat="1" x14ac:dyDescent="0.3">
      <c r="A839" s="247"/>
      <c r="B839" s="73"/>
      <c r="C839" s="74"/>
      <c r="D839" s="86" t="s">
        <v>811</v>
      </c>
      <c r="E839" s="74"/>
      <c r="F839" s="358" t="s">
        <v>851</v>
      </c>
      <c r="G839" s="359"/>
      <c r="H839" s="354">
        <v>1.1000000000000001</v>
      </c>
      <c r="I839" s="355"/>
      <c r="J839" s="76">
        <f>4*1.8*H839</f>
        <v>7.9200000000000008</v>
      </c>
    </row>
    <row r="840" spans="1:10" s="109" customFormat="1" x14ac:dyDescent="0.3">
      <c r="A840" s="247"/>
      <c r="B840" s="73"/>
      <c r="C840" s="74"/>
      <c r="D840" s="86" t="s">
        <v>852</v>
      </c>
      <c r="E840" s="74"/>
      <c r="F840" s="358">
        <v>1.8</v>
      </c>
      <c r="G840" s="359"/>
      <c r="H840" s="354">
        <v>1.1000000000000001</v>
      </c>
      <c r="I840" s="355"/>
      <c r="J840" s="76">
        <f t="shared" si="8"/>
        <v>1.9800000000000002</v>
      </c>
    </row>
    <row r="841" spans="1:10" s="109" customFormat="1" x14ac:dyDescent="0.3">
      <c r="A841" s="247"/>
      <c r="B841" s="73"/>
      <c r="C841" s="74"/>
      <c r="D841" s="86" t="s">
        <v>780</v>
      </c>
      <c r="E841" s="74"/>
      <c r="F841" s="358">
        <v>1.8</v>
      </c>
      <c r="G841" s="359"/>
      <c r="H841" s="354">
        <v>1.1000000000000001</v>
      </c>
      <c r="I841" s="355"/>
      <c r="J841" s="76">
        <f t="shared" si="8"/>
        <v>1.9800000000000002</v>
      </c>
    </row>
    <row r="842" spans="1:10" s="109" customFormat="1" x14ac:dyDescent="0.3">
      <c r="A842" s="247"/>
      <c r="B842" s="73"/>
      <c r="C842" s="74"/>
      <c r="D842" s="86" t="s">
        <v>853</v>
      </c>
      <c r="E842" s="74"/>
      <c r="F842" s="358" t="s">
        <v>854</v>
      </c>
      <c r="G842" s="359"/>
      <c r="H842" s="354">
        <v>1.1000000000000001</v>
      </c>
      <c r="I842" s="355"/>
      <c r="J842" s="76">
        <f>2*1.8*H842</f>
        <v>3.9600000000000004</v>
      </c>
    </row>
    <row r="843" spans="1:10" s="109" customFormat="1" ht="15" thickBot="1" x14ac:dyDescent="0.35">
      <c r="A843" s="364" t="s">
        <v>64</v>
      </c>
      <c r="B843" s="365"/>
      <c r="C843" s="365"/>
      <c r="D843" s="365"/>
      <c r="E843" s="365"/>
      <c r="F843" s="365"/>
      <c r="G843" s="365"/>
      <c r="H843" s="365"/>
      <c r="I843" s="366"/>
      <c r="J843" s="275">
        <f>SUM(J809:J842)</f>
        <v>75.789999999999964</v>
      </c>
    </row>
    <row r="844" spans="1:10" s="109" customFormat="1" x14ac:dyDescent="0.3">
      <c r="A844" s="247" t="str">
        <f>ORÇAMENTO!A408</f>
        <v>15.4</v>
      </c>
      <c r="B844" s="73" t="str">
        <f>ORÇAMENTO!B408</f>
        <v>GOINFRA</v>
      </c>
      <c r="C844" s="74">
        <f>ORÇAMENTO!C408</f>
        <v>180402</v>
      </c>
      <c r="D844" s="86" t="str">
        <f>ORÇAMENTO!D408</f>
        <v xml:space="preserve">ESQ.VENEZIANA CHAPA/VIDRO J11 e J16 C/FERRAGENS </v>
      </c>
      <c r="E844" s="74" t="str">
        <f>ORÇAMENTO!F408</f>
        <v>m2</v>
      </c>
      <c r="F844" s="381" t="s">
        <v>101</v>
      </c>
      <c r="G844" s="382"/>
      <c r="H844" s="379" t="s">
        <v>118</v>
      </c>
      <c r="I844" s="380"/>
      <c r="J844" s="76" t="s">
        <v>837</v>
      </c>
    </row>
    <row r="845" spans="1:10" s="109" customFormat="1" x14ac:dyDescent="0.3">
      <c r="A845" s="247"/>
      <c r="B845" s="73"/>
      <c r="C845" s="74"/>
      <c r="D845" s="86" t="s">
        <v>96</v>
      </c>
      <c r="E845" s="74"/>
      <c r="F845" s="358" t="s">
        <v>855</v>
      </c>
      <c r="G845" s="359"/>
      <c r="H845" s="354">
        <v>0.5</v>
      </c>
      <c r="I845" s="355"/>
      <c r="J845" s="76">
        <f>10*3*H845</f>
        <v>15</v>
      </c>
    </row>
    <row r="846" spans="1:10" s="109" customFormat="1" ht="15" thickBot="1" x14ac:dyDescent="0.35">
      <c r="A846" s="364" t="s">
        <v>64</v>
      </c>
      <c r="B846" s="365"/>
      <c r="C846" s="365"/>
      <c r="D846" s="365"/>
      <c r="E846" s="365"/>
      <c r="F846" s="365"/>
      <c r="G846" s="365"/>
      <c r="H846" s="365"/>
      <c r="I846" s="366"/>
      <c r="J846" s="275">
        <f>J845</f>
        <v>15</v>
      </c>
    </row>
    <row r="847" spans="1:10" x14ac:dyDescent="0.3">
      <c r="A847" s="256" t="str">
        <f>ORÇAMENTO!A409</f>
        <v>15.5</v>
      </c>
      <c r="B847" s="106" t="str">
        <f>ORÇAMENTO!B409</f>
        <v>GOINFRA</v>
      </c>
      <c r="C847" s="107">
        <f>ORÇAMENTO!C409</f>
        <v>180403</v>
      </c>
      <c r="D847" s="122" t="str">
        <f>ORÇAMENTO!D409</f>
        <v xml:space="preserve"> ESQ.MAXIMO AR CHAPA/VIDRO J1/J2/J7/J15 C/FERRAGENS </v>
      </c>
      <c r="E847" s="107" t="str">
        <f>ORÇAMENTO!F409</f>
        <v>m2</v>
      </c>
      <c r="F847" s="381" t="s">
        <v>101</v>
      </c>
      <c r="G847" s="382"/>
      <c r="H847" s="379" t="s">
        <v>118</v>
      </c>
      <c r="I847" s="380"/>
      <c r="J847" s="76" t="s">
        <v>837</v>
      </c>
    </row>
    <row r="848" spans="1:10" x14ac:dyDescent="0.3">
      <c r="A848" s="256"/>
      <c r="B848" s="106"/>
      <c r="C848" s="107"/>
      <c r="D848" s="122" t="s">
        <v>856</v>
      </c>
      <c r="E848" s="107"/>
      <c r="F848" s="356" t="s">
        <v>848</v>
      </c>
      <c r="G848" s="357"/>
      <c r="H848" s="354">
        <v>0.5</v>
      </c>
      <c r="I848" s="355"/>
      <c r="J848" s="76">
        <f>3*1.6*0.5</f>
        <v>2.4000000000000004</v>
      </c>
    </row>
    <row r="849" spans="1:10" x14ac:dyDescent="0.3">
      <c r="A849" s="256"/>
      <c r="B849" s="106"/>
      <c r="C849" s="107"/>
      <c r="D849" s="122" t="s">
        <v>857</v>
      </c>
      <c r="E849" s="107"/>
      <c r="F849" s="356" t="s">
        <v>858</v>
      </c>
      <c r="G849" s="357"/>
      <c r="H849" s="354">
        <v>0.5</v>
      </c>
      <c r="I849" s="355"/>
      <c r="J849" s="76">
        <f>2*1.6*0.5</f>
        <v>1.6</v>
      </c>
    </row>
    <row r="850" spans="1:10" x14ac:dyDescent="0.3">
      <c r="A850" s="256"/>
      <c r="B850" s="106"/>
      <c r="C850" s="107"/>
      <c r="D850" s="122" t="s">
        <v>859</v>
      </c>
      <c r="E850" s="107"/>
      <c r="F850" s="356">
        <v>1.6</v>
      </c>
      <c r="G850" s="357"/>
      <c r="H850" s="354">
        <v>0.5</v>
      </c>
      <c r="I850" s="355"/>
      <c r="J850" s="76">
        <f>F850*H850</f>
        <v>0.8</v>
      </c>
    </row>
    <row r="851" spans="1:10" x14ac:dyDescent="0.3">
      <c r="A851" s="256"/>
      <c r="B851" s="106"/>
      <c r="C851" s="107"/>
      <c r="D851" s="122" t="s">
        <v>833</v>
      </c>
      <c r="E851" s="107"/>
      <c r="F851" s="356">
        <v>1.6</v>
      </c>
      <c r="G851" s="357"/>
      <c r="H851" s="354">
        <v>0.5</v>
      </c>
      <c r="I851" s="355"/>
      <c r="J851" s="76">
        <f>F851*H851</f>
        <v>0.8</v>
      </c>
    </row>
    <row r="852" spans="1:10" x14ac:dyDescent="0.3">
      <c r="A852" s="256"/>
      <c r="B852" s="106"/>
      <c r="C852" s="107"/>
      <c r="D852" s="122" t="s">
        <v>860</v>
      </c>
      <c r="E852" s="107"/>
      <c r="F852" s="356">
        <v>1.6</v>
      </c>
      <c r="G852" s="357"/>
      <c r="H852" s="354">
        <v>0.5</v>
      </c>
      <c r="I852" s="355"/>
      <c r="J852" s="76">
        <f>F852*H852</f>
        <v>0.8</v>
      </c>
    </row>
    <row r="853" spans="1:10" ht="15" thickBot="1" x14ac:dyDescent="0.35">
      <c r="A853" s="364" t="s">
        <v>64</v>
      </c>
      <c r="B853" s="365"/>
      <c r="C853" s="365"/>
      <c r="D853" s="365"/>
      <c r="E853" s="365"/>
      <c r="F853" s="365"/>
      <c r="G853" s="365"/>
      <c r="H853" s="365"/>
      <c r="I853" s="366"/>
      <c r="J853" s="275">
        <f>SUM(J848:J852)</f>
        <v>6.3999999999999995</v>
      </c>
    </row>
    <row r="854" spans="1:10" x14ac:dyDescent="0.3">
      <c r="A854" s="256" t="str">
        <f>ORÇAMENTO!A410</f>
        <v>15.6</v>
      </c>
      <c r="B854" s="106" t="str">
        <f>ORÇAMENTO!B410</f>
        <v>GOINFRA</v>
      </c>
      <c r="C854" s="107">
        <f>ORÇAMENTO!C410</f>
        <v>180404</v>
      </c>
      <c r="D854" s="122" t="str">
        <f>ORÇAMENTO!D410</f>
        <v>ESQUADRIA BASCULANTE EM CHAPA J17, J18 e J19 C/FERRAGENS</v>
      </c>
      <c r="E854" s="107" t="str">
        <f>ORÇAMENTO!F410</f>
        <v>m2</v>
      </c>
      <c r="F854" s="381" t="s">
        <v>101</v>
      </c>
      <c r="G854" s="382"/>
      <c r="H854" s="379" t="s">
        <v>118</v>
      </c>
      <c r="I854" s="380"/>
      <c r="J854" s="76" t="s">
        <v>837</v>
      </c>
    </row>
    <row r="855" spans="1:10" x14ac:dyDescent="0.3">
      <c r="A855" s="256"/>
      <c r="B855" s="106"/>
      <c r="C855" s="107"/>
      <c r="D855" s="111" t="s">
        <v>861</v>
      </c>
      <c r="E855" s="107"/>
      <c r="F855" s="356">
        <v>0.5</v>
      </c>
      <c r="G855" s="357"/>
      <c r="H855" s="354">
        <v>0.5</v>
      </c>
      <c r="I855" s="355"/>
      <c r="J855" s="76">
        <f>H855*F855</f>
        <v>0.25</v>
      </c>
    </row>
    <row r="856" spans="1:10" x14ac:dyDescent="0.3">
      <c r="A856" s="256"/>
      <c r="B856" s="106"/>
      <c r="C856" s="107"/>
      <c r="D856" s="111" t="s">
        <v>862</v>
      </c>
      <c r="E856" s="107"/>
      <c r="F856" s="356">
        <v>0.5</v>
      </c>
      <c r="G856" s="357"/>
      <c r="H856" s="354">
        <v>0.5</v>
      </c>
      <c r="I856" s="355"/>
      <c r="J856" s="76">
        <f t="shared" ref="J856:J870" si="9">H856*F856</f>
        <v>0.25</v>
      </c>
    </row>
    <row r="857" spans="1:10" x14ac:dyDescent="0.3">
      <c r="A857" s="256"/>
      <c r="B857" s="106"/>
      <c r="C857" s="107"/>
      <c r="D857" s="122" t="s">
        <v>863</v>
      </c>
      <c r="E857" s="107"/>
      <c r="F857" s="356">
        <v>0.5</v>
      </c>
      <c r="G857" s="357"/>
      <c r="H857" s="354">
        <v>0.5</v>
      </c>
      <c r="I857" s="355"/>
      <c r="J857" s="76">
        <f t="shared" si="9"/>
        <v>0.25</v>
      </c>
    </row>
    <row r="858" spans="1:10" x14ac:dyDescent="0.3">
      <c r="A858" s="256"/>
      <c r="B858" s="106"/>
      <c r="C858" s="107"/>
      <c r="D858" s="122" t="s">
        <v>864</v>
      </c>
      <c r="E858" s="107"/>
      <c r="F858" s="356">
        <v>0.5</v>
      </c>
      <c r="G858" s="357"/>
      <c r="H858" s="354">
        <v>0.5</v>
      </c>
      <c r="I858" s="355"/>
      <c r="J858" s="76">
        <f t="shared" si="9"/>
        <v>0.25</v>
      </c>
    </row>
    <row r="859" spans="1:10" x14ac:dyDescent="0.3">
      <c r="A859" s="256"/>
      <c r="B859" s="106"/>
      <c r="C859" s="107"/>
      <c r="D859" s="122" t="s">
        <v>777</v>
      </c>
      <c r="E859" s="107"/>
      <c r="F859" s="356">
        <v>0.5</v>
      </c>
      <c r="G859" s="357"/>
      <c r="H859" s="354">
        <v>0.5</v>
      </c>
      <c r="I859" s="355"/>
      <c r="J859" s="76">
        <f t="shared" si="9"/>
        <v>0.25</v>
      </c>
    </row>
    <row r="860" spans="1:10" x14ac:dyDescent="0.3">
      <c r="A860" s="256"/>
      <c r="B860" s="106"/>
      <c r="C860" s="107"/>
      <c r="D860" s="122" t="s">
        <v>865</v>
      </c>
      <c r="E860" s="107"/>
      <c r="F860" s="356">
        <v>0.5</v>
      </c>
      <c r="G860" s="357"/>
      <c r="H860" s="354">
        <v>0.5</v>
      </c>
      <c r="I860" s="355"/>
      <c r="J860" s="76">
        <f t="shared" si="9"/>
        <v>0.25</v>
      </c>
    </row>
    <row r="861" spans="1:10" x14ac:dyDescent="0.3">
      <c r="A861" s="256"/>
      <c r="B861" s="106"/>
      <c r="C861" s="107"/>
      <c r="D861" s="122" t="s">
        <v>785</v>
      </c>
      <c r="E861" s="107"/>
      <c r="F861" s="356">
        <v>0.5</v>
      </c>
      <c r="G861" s="357"/>
      <c r="H861" s="354">
        <v>0.5</v>
      </c>
      <c r="I861" s="355"/>
      <c r="J861" s="76">
        <f t="shared" si="9"/>
        <v>0.25</v>
      </c>
    </row>
    <row r="862" spans="1:10" x14ac:dyDescent="0.3">
      <c r="A862" s="256"/>
      <c r="B862" s="106"/>
      <c r="C862" s="107"/>
      <c r="D862" s="122" t="s">
        <v>784</v>
      </c>
      <c r="E862" s="107"/>
      <c r="F862" s="356">
        <v>0.5</v>
      </c>
      <c r="G862" s="357"/>
      <c r="H862" s="354">
        <v>0.5</v>
      </c>
      <c r="I862" s="355"/>
      <c r="J862" s="76">
        <f t="shared" si="9"/>
        <v>0.25</v>
      </c>
    </row>
    <row r="863" spans="1:10" x14ac:dyDescent="0.3">
      <c r="A863" s="256"/>
      <c r="B863" s="106"/>
      <c r="C863" s="107"/>
      <c r="D863" s="122" t="s">
        <v>866</v>
      </c>
      <c r="E863" s="107"/>
      <c r="F863" s="356">
        <v>0.5</v>
      </c>
      <c r="G863" s="357"/>
      <c r="H863" s="354">
        <v>0.5</v>
      </c>
      <c r="I863" s="355"/>
      <c r="J863" s="76">
        <f t="shared" si="9"/>
        <v>0.25</v>
      </c>
    </row>
    <row r="864" spans="1:10" x14ac:dyDescent="0.3">
      <c r="A864" s="256"/>
      <c r="B864" s="106"/>
      <c r="C864" s="107"/>
      <c r="D864" s="122" t="s">
        <v>867</v>
      </c>
      <c r="E864" s="107"/>
      <c r="F864" s="356">
        <v>0.5</v>
      </c>
      <c r="G864" s="357"/>
      <c r="H864" s="354">
        <v>0.5</v>
      </c>
      <c r="I864" s="355"/>
      <c r="J864" s="76">
        <f t="shared" si="9"/>
        <v>0.25</v>
      </c>
    </row>
    <row r="865" spans="1:10" x14ac:dyDescent="0.3">
      <c r="A865" s="256"/>
      <c r="B865" s="106"/>
      <c r="C865" s="107"/>
      <c r="D865" s="122" t="s">
        <v>796</v>
      </c>
      <c r="E865" s="107"/>
      <c r="F865" s="356">
        <v>0.5</v>
      </c>
      <c r="G865" s="357"/>
      <c r="H865" s="354">
        <v>0.5</v>
      </c>
      <c r="I865" s="355"/>
      <c r="J865" s="76">
        <f t="shared" si="9"/>
        <v>0.25</v>
      </c>
    </row>
    <row r="866" spans="1:10" x14ac:dyDescent="0.3">
      <c r="A866" s="256"/>
      <c r="B866" s="106"/>
      <c r="C866" s="107"/>
      <c r="D866" s="122" t="s">
        <v>805</v>
      </c>
      <c r="E866" s="107"/>
      <c r="F866" s="356">
        <v>0.5</v>
      </c>
      <c r="G866" s="357"/>
      <c r="H866" s="354">
        <v>0.5</v>
      </c>
      <c r="I866" s="355"/>
      <c r="J866" s="76">
        <f t="shared" si="9"/>
        <v>0.25</v>
      </c>
    </row>
    <row r="867" spans="1:10" x14ac:dyDescent="0.3">
      <c r="A867" s="256"/>
      <c r="B867" s="106"/>
      <c r="C867" s="107"/>
      <c r="D867" s="122" t="s">
        <v>830</v>
      </c>
      <c r="E867" s="107"/>
      <c r="F867" s="356">
        <v>0.5</v>
      </c>
      <c r="G867" s="357"/>
      <c r="H867" s="354">
        <v>0.5</v>
      </c>
      <c r="I867" s="355"/>
      <c r="J867" s="76">
        <f t="shared" si="9"/>
        <v>0.25</v>
      </c>
    </row>
    <row r="868" spans="1:10" x14ac:dyDescent="0.3">
      <c r="A868" s="256"/>
      <c r="B868" s="106"/>
      <c r="C868" s="107"/>
      <c r="D868" s="122" t="s">
        <v>831</v>
      </c>
      <c r="E868" s="107"/>
      <c r="F868" s="356">
        <v>0.5</v>
      </c>
      <c r="G868" s="357"/>
      <c r="H868" s="354">
        <v>0.5</v>
      </c>
      <c r="I868" s="355"/>
      <c r="J868" s="76">
        <f t="shared" si="9"/>
        <v>0.25</v>
      </c>
    </row>
    <row r="869" spans="1:10" x14ac:dyDescent="0.3">
      <c r="A869" s="256"/>
      <c r="B869" s="106"/>
      <c r="C869" s="107"/>
      <c r="D869" s="122" t="s">
        <v>806</v>
      </c>
      <c r="E869" s="107"/>
      <c r="F869" s="356">
        <v>0.5</v>
      </c>
      <c r="G869" s="357"/>
      <c r="H869" s="354">
        <v>0.5</v>
      </c>
      <c r="I869" s="355"/>
      <c r="J869" s="76">
        <f t="shared" si="9"/>
        <v>0.25</v>
      </c>
    </row>
    <row r="870" spans="1:10" x14ac:dyDescent="0.3">
      <c r="A870" s="256"/>
      <c r="B870" s="106"/>
      <c r="C870" s="107"/>
      <c r="D870" s="122" t="s">
        <v>807</v>
      </c>
      <c r="E870" s="107"/>
      <c r="F870" s="356">
        <v>0.5</v>
      </c>
      <c r="G870" s="357"/>
      <c r="H870" s="354">
        <v>0.5</v>
      </c>
      <c r="I870" s="355"/>
      <c r="J870" s="76">
        <f t="shared" si="9"/>
        <v>0.25</v>
      </c>
    </row>
    <row r="871" spans="1:10" x14ac:dyDescent="0.3">
      <c r="A871" s="256"/>
      <c r="B871" s="106"/>
      <c r="C871" s="107"/>
      <c r="D871" s="122" t="s">
        <v>1037</v>
      </c>
      <c r="E871" s="107"/>
      <c r="F871" s="356">
        <v>3.6</v>
      </c>
      <c r="G871" s="383"/>
      <c r="H871" s="369">
        <v>1.65</v>
      </c>
      <c r="I871" s="355"/>
      <c r="J871" s="76">
        <f>H871*F871</f>
        <v>5.9399999999999995</v>
      </c>
    </row>
    <row r="872" spans="1:10" ht="15" thickBot="1" x14ac:dyDescent="0.35">
      <c r="A872" s="364" t="s">
        <v>64</v>
      </c>
      <c r="B872" s="365"/>
      <c r="C872" s="365"/>
      <c r="D872" s="365"/>
      <c r="E872" s="365"/>
      <c r="F872" s="365"/>
      <c r="G872" s="365"/>
      <c r="H872" s="365"/>
      <c r="I872" s="366"/>
      <c r="J872" s="275">
        <f>SUM(J855:J871)</f>
        <v>9.94</v>
      </c>
    </row>
    <row r="873" spans="1:10" x14ac:dyDescent="0.3">
      <c r="A873" s="256" t="str">
        <f>ORÇAMENTO!A411</f>
        <v>15.7</v>
      </c>
      <c r="B873" s="106" t="str">
        <f>ORÇAMENTO!B411</f>
        <v>GOINFRA</v>
      </c>
      <c r="C873" s="107">
        <f>ORÇAMENTO!C411</f>
        <v>180506</v>
      </c>
      <c r="D873" s="122" t="str">
        <f>ORÇAMENTO!D411</f>
        <v xml:space="preserve"> PORTA DE CORRER/VIDRO (4) FOLHAS PF-6 C/ FERRAGENS </v>
      </c>
      <c r="E873" s="107" t="str">
        <f>ORÇAMENTO!F411</f>
        <v>m2</v>
      </c>
      <c r="F873" s="381" t="s">
        <v>117</v>
      </c>
      <c r="G873" s="382"/>
      <c r="H873" s="379" t="s">
        <v>118</v>
      </c>
      <c r="I873" s="380"/>
      <c r="J873" s="76" t="s">
        <v>837</v>
      </c>
    </row>
    <row r="874" spans="1:10" x14ac:dyDescent="0.3">
      <c r="A874" s="256"/>
      <c r="B874" s="106"/>
      <c r="C874" s="107"/>
      <c r="D874" s="122" t="s">
        <v>868</v>
      </c>
      <c r="E874" s="107"/>
      <c r="F874" s="356">
        <v>3</v>
      </c>
      <c r="G874" s="357"/>
      <c r="H874" s="351">
        <v>2.1</v>
      </c>
      <c r="I874" s="353"/>
      <c r="J874" s="76">
        <f>H874*F874</f>
        <v>6.3000000000000007</v>
      </c>
    </row>
    <row r="875" spans="1:10" x14ac:dyDescent="0.3">
      <c r="A875" s="256"/>
      <c r="B875" s="106"/>
      <c r="C875" s="107"/>
      <c r="D875" s="122" t="s">
        <v>890</v>
      </c>
      <c r="E875" s="107"/>
      <c r="F875" s="356">
        <v>3.5</v>
      </c>
      <c r="G875" s="357"/>
      <c r="H875" s="351">
        <v>2.1</v>
      </c>
      <c r="I875" s="353"/>
      <c r="J875" s="76">
        <f>H875*F875</f>
        <v>7.3500000000000005</v>
      </c>
    </row>
    <row r="876" spans="1:10" x14ac:dyDescent="0.3">
      <c r="A876" s="256"/>
      <c r="B876" s="106"/>
      <c r="C876" s="107"/>
      <c r="D876" s="122" t="s">
        <v>891</v>
      </c>
      <c r="E876" s="107"/>
      <c r="F876" s="356">
        <v>3.5</v>
      </c>
      <c r="G876" s="357"/>
      <c r="H876" s="351">
        <v>2.1</v>
      </c>
      <c r="I876" s="353"/>
      <c r="J876" s="76">
        <f>H876*F876</f>
        <v>7.3500000000000005</v>
      </c>
    </row>
    <row r="877" spans="1:10" ht="15" thickBot="1" x14ac:dyDescent="0.35">
      <c r="A877" s="364" t="s">
        <v>64</v>
      </c>
      <c r="B877" s="365"/>
      <c r="C877" s="365"/>
      <c r="D877" s="365"/>
      <c r="E877" s="365"/>
      <c r="F877" s="365"/>
      <c r="G877" s="365"/>
      <c r="H877" s="365"/>
      <c r="I877" s="366"/>
      <c r="J877" s="275">
        <f>SUM(J874:J876)</f>
        <v>21.000000000000004</v>
      </c>
    </row>
    <row r="878" spans="1:10" s="52" customFormat="1" x14ac:dyDescent="0.3">
      <c r="A878" s="257" t="str">
        <f>ORÇAMENTO!A412</f>
        <v>15.8</v>
      </c>
      <c r="B878" s="112" t="str">
        <f>ORÇAMENTO!B412</f>
        <v>GOINFRA</v>
      </c>
      <c r="C878" s="112">
        <f>ORÇAMENTO!C412</f>
        <v>80280</v>
      </c>
      <c r="D878" s="221" t="str">
        <f>ORÇAMENTO!D412</f>
        <v xml:space="preserve">PORTAO TELA/TUBO FoGo PT1/PT2 C/FERRAGENS </v>
      </c>
      <c r="E878" s="112" t="str">
        <f>ORÇAMENTO!F412</f>
        <v>m2</v>
      </c>
      <c r="F878" s="425" t="s">
        <v>117</v>
      </c>
      <c r="G878" s="426"/>
      <c r="H878" s="379" t="s">
        <v>118</v>
      </c>
      <c r="I878" s="380"/>
      <c r="J878" s="113" t="s">
        <v>837</v>
      </c>
    </row>
    <row r="879" spans="1:10" s="52" customFormat="1" x14ac:dyDescent="0.3">
      <c r="A879" s="257"/>
      <c r="B879" s="114"/>
      <c r="C879" s="112"/>
      <c r="D879" s="221" t="s">
        <v>868</v>
      </c>
      <c r="E879" s="112"/>
      <c r="F879" s="427">
        <v>20.7</v>
      </c>
      <c r="G879" s="428"/>
      <c r="H879" s="351">
        <v>2.1</v>
      </c>
      <c r="I879" s="353"/>
      <c r="J879" s="113">
        <f>H879*F879</f>
        <v>43.47</v>
      </c>
    </row>
    <row r="880" spans="1:10" s="52" customFormat="1" x14ac:dyDescent="0.3">
      <c r="A880" s="257"/>
      <c r="B880" s="114"/>
      <c r="C880" s="112"/>
      <c r="D880" s="221" t="s">
        <v>1472</v>
      </c>
      <c r="E880" s="112"/>
      <c r="F880" s="427" t="s">
        <v>1473</v>
      </c>
      <c r="G880" s="428"/>
      <c r="H880" s="351">
        <v>2.1</v>
      </c>
      <c r="I880" s="353"/>
      <c r="J880" s="113">
        <f>H880*4*0.75</f>
        <v>6.3000000000000007</v>
      </c>
    </row>
    <row r="881" spans="1:10" ht="15" thickBot="1" x14ac:dyDescent="0.35">
      <c r="A881" s="364" t="s">
        <v>64</v>
      </c>
      <c r="B881" s="365"/>
      <c r="C881" s="365"/>
      <c r="D881" s="365"/>
      <c r="E881" s="365"/>
      <c r="F881" s="365"/>
      <c r="G881" s="365"/>
      <c r="H881" s="365"/>
      <c r="I881" s="366"/>
      <c r="J881" s="275">
        <f>SUM(J879:J880)</f>
        <v>49.769999999999996</v>
      </c>
    </row>
    <row r="882" spans="1:10" s="52" customFormat="1" x14ac:dyDescent="0.3">
      <c r="A882" s="257" t="str">
        <f>ORÇAMENTO!A413</f>
        <v>15.9</v>
      </c>
      <c r="B882" s="114" t="str">
        <f>ORÇAMENTO!B413</f>
        <v>GOINFRA</v>
      </c>
      <c r="C882" s="112">
        <f>ORÇAMENTO!C413</f>
        <v>180304</v>
      </c>
      <c r="D882" s="221" t="str">
        <f>ORÇAMENTO!D413</f>
        <v xml:space="preserve">PORTAO DE ABRIR CHAPA 14 PT-4 C/FERRAGENS </v>
      </c>
      <c r="E882" s="112" t="str">
        <f>ORÇAMENTO!F413</f>
        <v>m2</v>
      </c>
      <c r="F882" s="425" t="s">
        <v>117</v>
      </c>
      <c r="G882" s="426"/>
      <c r="H882" s="379" t="s">
        <v>118</v>
      </c>
      <c r="I882" s="380"/>
      <c r="J882" s="113" t="s">
        <v>837</v>
      </c>
    </row>
    <row r="883" spans="1:10" s="52" customFormat="1" x14ac:dyDescent="0.3">
      <c r="A883" s="257"/>
      <c r="B883" s="114"/>
      <c r="C883" s="112"/>
      <c r="D883" s="221" t="s">
        <v>96</v>
      </c>
      <c r="E883" s="112"/>
      <c r="F883" s="427" t="s">
        <v>869</v>
      </c>
      <c r="G883" s="428"/>
      <c r="H883" s="351">
        <v>2.1</v>
      </c>
      <c r="I883" s="353"/>
      <c r="J883" s="113">
        <f>2*2.5*2.1</f>
        <v>10.5</v>
      </c>
    </row>
    <row r="884" spans="1:10" ht="15" thickBot="1" x14ac:dyDescent="0.35">
      <c r="A884" s="364" t="s">
        <v>64</v>
      </c>
      <c r="B884" s="365"/>
      <c r="C884" s="365"/>
      <c r="D884" s="365"/>
      <c r="E884" s="365"/>
      <c r="F884" s="365"/>
      <c r="G884" s="365"/>
      <c r="H884" s="365"/>
      <c r="I884" s="366"/>
      <c r="J884" s="275">
        <f>J883</f>
        <v>10.5</v>
      </c>
    </row>
    <row r="885" spans="1:10" x14ac:dyDescent="0.3">
      <c r="A885" s="256" t="str">
        <f>ORÇAMENTO!A414</f>
        <v>15.10</v>
      </c>
      <c r="B885" s="106" t="str">
        <f>ORÇAMENTO!B414</f>
        <v>GOINFRA</v>
      </c>
      <c r="C885" s="107">
        <f>ORÇAMENTO!C414</f>
        <v>180509</v>
      </c>
      <c r="D885" s="122" t="str">
        <f>ORÇAMENTO!D414</f>
        <v xml:space="preserve"> PORTA ABRIR CH.P/WC PF-10 C/FERRAGENS </v>
      </c>
      <c r="E885" s="107" t="str">
        <f>ORÇAMENTO!F414</f>
        <v>m2</v>
      </c>
      <c r="F885" s="381" t="s">
        <v>117</v>
      </c>
      <c r="G885" s="382"/>
      <c r="H885" s="379" t="s">
        <v>118</v>
      </c>
      <c r="I885" s="380"/>
      <c r="J885" s="76" t="s">
        <v>837</v>
      </c>
    </row>
    <row r="886" spans="1:10" x14ac:dyDescent="0.3">
      <c r="A886" s="256"/>
      <c r="B886" s="106"/>
      <c r="C886" s="107"/>
      <c r="D886" s="122" t="s">
        <v>856</v>
      </c>
      <c r="E886" s="107"/>
      <c r="F886" s="356" t="s">
        <v>870</v>
      </c>
      <c r="G886" s="357"/>
      <c r="H886" s="351">
        <v>1.8</v>
      </c>
      <c r="I886" s="353"/>
      <c r="J886" s="76">
        <f>H886*14*0.7</f>
        <v>17.639999999999997</v>
      </c>
    </row>
    <row r="887" spans="1:10" x14ac:dyDescent="0.3">
      <c r="A887" s="256"/>
      <c r="B887" s="106"/>
      <c r="C887" s="107"/>
      <c r="D887" s="122" t="s">
        <v>856</v>
      </c>
      <c r="E887" s="107"/>
      <c r="F887" s="356">
        <v>0.9</v>
      </c>
      <c r="G887" s="357"/>
      <c r="H887" s="351">
        <v>1.8</v>
      </c>
      <c r="I887" s="353"/>
      <c r="J887" s="76">
        <f>H887*F887</f>
        <v>1.62</v>
      </c>
    </row>
    <row r="888" spans="1:10" x14ac:dyDescent="0.3">
      <c r="A888" s="256"/>
      <c r="B888" s="106"/>
      <c r="C888" s="107"/>
      <c r="D888" s="122" t="s">
        <v>857</v>
      </c>
      <c r="E888" s="107"/>
      <c r="F888" s="356" t="s">
        <v>871</v>
      </c>
      <c r="G888" s="357"/>
      <c r="H888" s="351">
        <v>1.8</v>
      </c>
      <c r="I888" s="353"/>
      <c r="J888" s="76">
        <f>6*0.7*H888</f>
        <v>7.5599999999999987</v>
      </c>
    </row>
    <row r="889" spans="1:10" x14ac:dyDescent="0.3">
      <c r="A889" s="256"/>
      <c r="B889" s="106"/>
      <c r="C889" s="107"/>
      <c r="D889" s="122" t="s">
        <v>857</v>
      </c>
      <c r="E889" s="107"/>
      <c r="F889" s="356">
        <v>0.9</v>
      </c>
      <c r="G889" s="357"/>
      <c r="H889" s="351">
        <v>1.8</v>
      </c>
      <c r="I889" s="353"/>
      <c r="J889" s="76">
        <f>H889*F889</f>
        <v>1.62</v>
      </c>
    </row>
    <row r="890" spans="1:10" x14ac:dyDescent="0.3">
      <c r="A890" s="256"/>
      <c r="B890" s="106"/>
      <c r="C890" s="107"/>
      <c r="D890" s="122" t="s">
        <v>833</v>
      </c>
      <c r="E890" s="107"/>
      <c r="F890" s="356" t="s">
        <v>872</v>
      </c>
      <c r="G890" s="357"/>
      <c r="H890" s="351">
        <v>1.8</v>
      </c>
      <c r="I890" s="353"/>
      <c r="J890" s="76">
        <f>3*0.7*H890</f>
        <v>3.7799999999999994</v>
      </c>
    </row>
    <row r="891" spans="1:10" x14ac:dyDescent="0.3">
      <c r="A891" s="256"/>
      <c r="B891" s="106"/>
      <c r="C891" s="107"/>
      <c r="D891" s="122" t="s">
        <v>833</v>
      </c>
      <c r="E891" s="107"/>
      <c r="F891" s="356">
        <v>0.9</v>
      </c>
      <c r="G891" s="357"/>
      <c r="H891" s="351">
        <v>1.8</v>
      </c>
      <c r="I891" s="353"/>
      <c r="J891" s="76">
        <f>0.9*2</f>
        <v>1.8</v>
      </c>
    </row>
    <row r="892" spans="1:10" x14ac:dyDescent="0.3">
      <c r="A892" s="256"/>
      <c r="B892" s="106"/>
      <c r="C892" s="107"/>
      <c r="D892" s="122" t="s">
        <v>835</v>
      </c>
      <c r="E892" s="107"/>
      <c r="F892" s="356" t="s">
        <v>872</v>
      </c>
      <c r="G892" s="357"/>
      <c r="H892" s="351">
        <v>1.8</v>
      </c>
      <c r="I892" s="353"/>
      <c r="J892" s="76">
        <f>3*0.7*H892</f>
        <v>3.7799999999999994</v>
      </c>
    </row>
    <row r="893" spans="1:10" x14ac:dyDescent="0.3">
      <c r="A893" s="256"/>
      <c r="B893" s="106"/>
      <c r="C893" s="107"/>
      <c r="D893" s="122" t="s">
        <v>835</v>
      </c>
      <c r="E893" s="107"/>
      <c r="F893" s="356">
        <v>0.9</v>
      </c>
      <c r="G893" s="357"/>
      <c r="H893" s="351">
        <v>1.8</v>
      </c>
      <c r="I893" s="353"/>
      <c r="J893" s="76">
        <f>0.9*H893</f>
        <v>1.62</v>
      </c>
    </row>
    <row r="894" spans="1:10" ht="15" thickBot="1" x14ac:dyDescent="0.35">
      <c r="A894" s="364" t="s">
        <v>64</v>
      </c>
      <c r="B894" s="365"/>
      <c r="C894" s="365"/>
      <c r="D894" s="365"/>
      <c r="E894" s="365"/>
      <c r="F894" s="365"/>
      <c r="G894" s="365"/>
      <c r="H894" s="365"/>
      <c r="I894" s="366"/>
      <c r="J894" s="277">
        <f>SUM(J886:J893)</f>
        <v>39.419999999999995</v>
      </c>
    </row>
    <row r="895" spans="1:10" x14ac:dyDescent="0.3">
      <c r="A895" s="247" t="str">
        <f>ORÇAMENTO!A415</f>
        <v>15.11</v>
      </c>
      <c r="B895" s="74" t="str">
        <f>ORÇAMENTO!B415</f>
        <v>GOINFRA</v>
      </c>
      <c r="C895" s="74">
        <f>ORÇAMENTO!C415</f>
        <v>180703</v>
      </c>
      <c r="D895" s="86" t="str">
        <f>ORÇAMENTO!D415</f>
        <v xml:space="preserve">ESCADA TIPO MARINHEIRO SEM GUARDA CORPO PADRÃO GOINFRA ( H &lt;= 3M) </v>
      </c>
      <c r="E895" s="74" t="str">
        <f>ORÇAMENTO!F415</f>
        <v xml:space="preserve">m </v>
      </c>
      <c r="F895" s="371" t="s">
        <v>100</v>
      </c>
      <c r="G895" s="372"/>
      <c r="H895" s="372"/>
      <c r="I895" s="373"/>
      <c r="J895" s="76" t="s">
        <v>86</v>
      </c>
    </row>
    <row r="896" spans="1:10" x14ac:dyDescent="0.3">
      <c r="A896" s="251"/>
      <c r="B896" s="91"/>
      <c r="C896" s="91"/>
      <c r="D896" s="86" t="s">
        <v>1454</v>
      </c>
      <c r="E896" s="74"/>
      <c r="F896" s="354">
        <v>2</v>
      </c>
      <c r="G896" s="369"/>
      <c r="H896" s="369"/>
      <c r="I896" s="355"/>
      <c r="J896" s="76">
        <f>F896</f>
        <v>2</v>
      </c>
    </row>
    <row r="897" spans="1:10" ht="15" thickBot="1" x14ac:dyDescent="0.35">
      <c r="A897" s="364" t="s">
        <v>64</v>
      </c>
      <c r="B897" s="365"/>
      <c r="C897" s="365"/>
      <c r="D897" s="365"/>
      <c r="E897" s="365"/>
      <c r="F897" s="365"/>
      <c r="G897" s="365"/>
      <c r="H897" s="365"/>
      <c r="I897" s="366"/>
      <c r="J897" s="275">
        <f>J896</f>
        <v>2</v>
      </c>
    </row>
    <row r="898" spans="1:10" ht="15" thickBot="1" x14ac:dyDescent="0.35">
      <c r="A898" s="415" t="s">
        <v>48</v>
      </c>
      <c r="B898" s="416"/>
      <c r="C898" s="416"/>
      <c r="D898" s="416"/>
      <c r="E898" s="416"/>
      <c r="F898" s="416"/>
      <c r="G898" s="416"/>
      <c r="H898" s="416"/>
      <c r="I898" s="416"/>
      <c r="J898" s="417"/>
    </row>
    <row r="899" spans="1:10" ht="15" thickBot="1" x14ac:dyDescent="0.35">
      <c r="A899" s="252">
        <v>16</v>
      </c>
      <c r="B899" s="227" t="s">
        <v>10</v>
      </c>
      <c r="C899" s="228">
        <v>190000</v>
      </c>
      <c r="D899" s="263" t="s">
        <v>49</v>
      </c>
      <c r="E899" s="229"/>
      <c r="F899" s="232"/>
      <c r="G899" s="232"/>
      <c r="H899" s="229"/>
      <c r="I899" s="229"/>
      <c r="J899" s="96"/>
    </row>
    <row r="900" spans="1:10" x14ac:dyDescent="0.3">
      <c r="A900" s="253" t="str">
        <f>ORÇAMENTO!A419</f>
        <v>16.1</v>
      </c>
      <c r="B900" s="224" t="str">
        <f>ORÇAMENTO!B419</f>
        <v>GOINFRA</v>
      </c>
      <c r="C900" s="225">
        <f>ORÇAMENTO!C419</f>
        <v>190102</v>
      </c>
      <c r="D900" s="226" t="str">
        <f>ORÇAMENTO!D419</f>
        <v xml:space="preserve">VIDRO LISO 4 MM - COLOCADO </v>
      </c>
      <c r="E900" s="225" t="str">
        <f>ORÇAMENTO!F419</f>
        <v>m2</v>
      </c>
      <c r="F900" s="394" t="s">
        <v>88</v>
      </c>
      <c r="G900" s="367"/>
      <c r="H900" s="367"/>
      <c r="I900" s="432"/>
      <c r="J900" s="79" t="s">
        <v>889</v>
      </c>
    </row>
    <row r="901" spans="1:10" x14ac:dyDescent="0.3">
      <c r="A901" s="247"/>
      <c r="B901" s="73"/>
      <c r="C901" s="74"/>
      <c r="D901" s="75" t="s">
        <v>888</v>
      </c>
      <c r="E901" s="82"/>
      <c r="F901" s="354">
        <f>J807+J843+J846+J853+J872</f>
        <v>119.12999999999997</v>
      </c>
      <c r="G901" s="369"/>
      <c r="H901" s="369"/>
      <c r="I901" s="355"/>
      <c r="J901" s="79">
        <f>F901</f>
        <v>119.12999999999997</v>
      </c>
    </row>
    <row r="902" spans="1:10" ht="15" thickBot="1" x14ac:dyDescent="0.35">
      <c r="A902" s="364" t="s">
        <v>64</v>
      </c>
      <c r="B902" s="365"/>
      <c r="C902" s="365"/>
      <c r="D902" s="365"/>
      <c r="E902" s="365"/>
      <c r="F902" s="365"/>
      <c r="G902" s="365"/>
      <c r="H902" s="365"/>
      <c r="I902" s="366"/>
      <c r="J902" s="277">
        <f>J901</f>
        <v>119.12999999999997</v>
      </c>
    </row>
    <row r="903" spans="1:10" x14ac:dyDescent="0.3">
      <c r="A903" s="247" t="str">
        <f>ORÇAMENTO!A420</f>
        <v>16.2</v>
      </c>
      <c r="B903" s="73" t="str">
        <f>ORÇAMENTO!B420</f>
        <v>GOINFRA</v>
      </c>
      <c r="C903" s="74">
        <f>ORÇAMENTO!C420</f>
        <v>190201</v>
      </c>
      <c r="D903" s="75" t="str">
        <f>ORÇAMENTO!D420</f>
        <v xml:space="preserve">VIDRO TEMPERADO 10 MM - COLOCADO </v>
      </c>
      <c r="E903" s="74" t="str">
        <f>ORÇAMENTO!F420</f>
        <v>m2</v>
      </c>
      <c r="F903" s="377" t="s">
        <v>89</v>
      </c>
      <c r="G903" s="378"/>
      <c r="H903" s="82" t="s">
        <v>118</v>
      </c>
      <c r="I903" s="82" t="s">
        <v>101</v>
      </c>
      <c r="J903" s="76" t="s">
        <v>889</v>
      </c>
    </row>
    <row r="904" spans="1:10" x14ac:dyDescent="0.3">
      <c r="A904" s="247"/>
      <c r="B904" s="73"/>
      <c r="C904" s="74"/>
      <c r="D904" s="75" t="s">
        <v>895</v>
      </c>
      <c r="E904" s="74"/>
      <c r="F904" s="358">
        <v>2</v>
      </c>
      <c r="G904" s="359"/>
      <c r="H904" s="82">
        <v>2</v>
      </c>
      <c r="I904" s="82">
        <v>0.9</v>
      </c>
      <c r="J904" s="76">
        <f t="shared" ref="J904:J909" si="10">I904*H904*F904</f>
        <v>3.6</v>
      </c>
    </row>
    <row r="905" spans="1:10" x14ac:dyDescent="0.3">
      <c r="A905" s="247"/>
      <c r="B905" s="73"/>
      <c r="C905" s="74"/>
      <c r="D905" s="75" t="s">
        <v>896</v>
      </c>
      <c r="E905" s="74"/>
      <c r="F905" s="358">
        <v>2</v>
      </c>
      <c r="G905" s="359"/>
      <c r="H905" s="82">
        <v>2</v>
      </c>
      <c r="I905" s="82">
        <v>0.9</v>
      </c>
      <c r="J905" s="76">
        <f t="shared" si="10"/>
        <v>3.6</v>
      </c>
    </row>
    <row r="906" spans="1:10" x14ac:dyDescent="0.3">
      <c r="A906" s="247"/>
      <c r="B906" s="73"/>
      <c r="C906" s="74"/>
      <c r="D906" s="75" t="s">
        <v>897</v>
      </c>
      <c r="E906" s="74"/>
      <c r="F906" s="358">
        <v>2</v>
      </c>
      <c r="G906" s="359"/>
      <c r="H906" s="82">
        <v>2</v>
      </c>
      <c r="I906" s="82">
        <v>0.9</v>
      </c>
      <c r="J906" s="76">
        <f t="shared" si="10"/>
        <v>3.6</v>
      </c>
    </row>
    <row r="907" spans="1:10" x14ac:dyDescent="0.3">
      <c r="A907" s="247"/>
      <c r="B907" s="73"/>
      <c r="C907" s="74"/>
      <c r="D907" s="75" t="s">
        <v>898</v>
      </c>
      <c r="E907" s="82"/>
      <c r="F907" s="358">
        <v>1</v>
      </c>
      <c r="G907" s="359"/>
      <c r="H907" s="82">
        <v>2</v>
      </c>
      <c r="I907" s="82">
        <v>1.35</v>
      </c>
      <c r="J907" s="76">
        <f t="shared" si="10"/>
        <v>2.7</v>
      </c>
    </row>
    <row r="908" spans="1:10" x14ac:dyDescent="0.3">
      <c r="A908" s="247"/>
      <c r="B908" s="73"/>
      <c r="C908" s="74"/>
      <c r="D908" s="75" t="s">
        <v>789</v>
      </c>
      <c r="E908" s="74"/>
      <c r="F908" s="358">
        <v>1</v>
      </c>
      <c r="G908" s="359"/>
      <c r="H908" s="82">
        <v>2</v>
      </c>
      <c r="I908" s="82">
        <v>1.35</v>
      </c>
      <c r="J908" s="76">
        <f t="shared" si="10"/>
        <v>2.7</v>
      </c>
    </row>
    <row r="909" spans="1:10" x14ac:dyDescent="0.3">
      <c r="A909" s="247"/>
      <c r="B909" s="73"/>
      <c r="C909" s="74"/>
      <c r="D909" s="75" t="s">
        <v>899</v>
      </c>
      <c r="E909" s="82"/>
      <c r="F909" s="358">
        <v>1</v>
      </c>
      <c r="G909" s="359"/>
      <c r="H909" s="82">
        <v>2</v>
      </c>
      <c r="I909" s="82">
        <v>1.45</v>
      </c>
      <c r="J909" s="76">
        <f t="shared" si="10"/>
        <v>2.9</v>
      </c>
    </row>
    <row r="910" spans="1:10" x14ac:dyDescent="0.3">
      <c r="A910" s="247"/>
      <c r="B910" s="73"/>
      <c r="C910" s="74"/>
      <c r="D910" s="75" t="s">
        <v>892</v>
      </c>
      <c r="E910" s="82"/>
      <c r="F910" s="354">
        <f>J877</f>
        <v>21.000000000000004</v>
      </c>
      <c r="G910" s="369"/>
      <c r="H910" s="369"/>
      <c r="I910" s="355"/>
      <c r="J910" s="79">
        <f>F910</f>
        <v>21.000000000000004</v>
      </c>
    </row>
    <row r="911" spans="1:10" ht="15" thickBot="1" x14ac:dyDescent="0.35">
      <c r="A911" s="364" t="s">
        <v>64</v>
      </c>
      <c r="B911" s="365"/>
      <c r="C911" s="365"/>
      <c r="D911" s="365"/>
      <c r="E911" s="365"/>
      <c r="F911" s="365"/>
      <c r="G911" s="365"/>
      <c r="H911" s="365"/>
      <c r="I911" s="366"/>
      <c r="J911" s="277">
        <f>SUM(J904:J910)</f>
        <v>40.1</v>
      </c>
    </row>
    <row r="912" spans="1:10" ht="15" thickBot="1" x14ac:dyDescent="0.35">
      <c r="A912" s="464" t="s">
        <v>50</v>
      </c>
      <c r="B912" s="465"/>
      <c r="C912" s="465"/>
      <c r="D912" s="465"/>
      <c r="E912" s="465"/>
      <c r="F912" s="465"/>
      <c r="G912" s="465"/>
      <c r="H912" s="465"/>
      <c r="I912" s="465"/>
      <c r="J912" s="466"/>
    </row>
    <row r="913" spans="1:10" x14ac:dyDescent="0.3">
      <c r="A913" s="249">
        <v>17</v>
      </c>
      <c r="B913" s="87" t="s">
        <v>10</v>
      </c>
      <c r="C913" s="81">
        <v>200000</v>
      </c>
      <c r="D913" s="262" t="s">
        <v>51</v>
      </c>
      <c r="E913" s="95"/>
      <c r="F913" s="231"/>
      <c r="G913" s="231"/>
      <c r="H913" s="95"/>
      <c r="I913" s="95"/>
      <c r="J913" s="96"/>
    </row>
    <row r="914" spans="1:10" x14ac:dyDescent="0.3">
      <c r="A914" s="278" t="str">
        <f>ORÇAMENTO!A424</f>
        <v>17.1</v>
      </c>
      <c r="B914" s="279" t="str">
        <f>ORÇAMENTO!B424</f>
        <v>GOINFRA</v>
      </c>
      <c r="C914" s="280">
        <f>ORÇAMENTO!C424</f>
        <v>200101</v>
      </c>
      <c r="D914" s="281" t="str">
        <f>ORÇAMENTO!D424</f>
        <v xml:space="preserve">CHAPISCO COMUM </v>
      </c>
      <c r="E914" s="280" t="str">
        <f>ORÇAMENTO!F424</f>
        <v xml:space="preserve">m2 </v>
      </c>
      <c r="F914" s="450" t="s">
        <v>101</v>
      </c>
      <c r="G914" s="451"/>
      <c r="H914" s="452" t="s">
        <v>118</v>
      </c>
      <c r="I914" s="453"/>
      <c r="J914" s="282" t="s">
        <v>86</v>
      </c>
    </row>
    <row r="915" spans="1:10" ht="51.75" customHeight="1" x14ac:dyDescent="0.3">
      <c r="A915" s="247"/>
      <c r="B915" s="73"/>
      <c r="C915" s="74"/>
      <c r="D915" s="75" t="s">
        <v>491</v>
      </c>
      <c r="E915" s="82"/>
      <c r="F915" s="358" t="s">
        <v>873</v>
      </c>
      <c r="G915" s="359"/>
      <c r="H915" s="354">
        <v>4.7</v>
      </c>
      <c r="I915" s="355"/>
      <c r="J915" s="79">
        <f>(7.15+10.14+44.13+49.74+44.13+6.8+33.37+32.8+40.48+18+18+3.98+3.98)*H915</f>
        <v>1469.6900000000003</v>
      </c>
    </row>
    <row r="916" spans="1:10" x14ac:dyDescent="0.3">
      <c r="A916" s="247"/>
      <c r="B916" s="73"/>
      <c r="C916" s="74"/>
      <c r="D916" s="75" t="s">
        <v>1549</v>
      </c>
      <c r="E916" s="82"/>
      <c r="F916" s="358" t="s">
        <v>504</v>
      </c>
      <c r="G916" s="359"/>
      <c r="H916" s="354">
        <v>2.1</v>
      </c>
      <c r="I916" s="355"/>
      <c r="J916" s="79">
        <f>-(1+6*0.8+3+2*3.5)*H916</f>
        <v>-33.18</v>
      </c>
    </row>
    <row r="917" spans="1:10" x14ac:dyDescent="0.3">
      <c r="A917" s="247"/>
      <c r="B917" s="73"/>
      <c r="C917" s="74"/>
      <c r="D917" s="75" t="s">
        <v>1550</v>
      </c>
      <c r="E917" s="82"/>
      <c r="F917" s="358" t="s">
        <v>505</v>
      </c>
      <c r="G917" s="359"/>
      <c r="H917" s="354">
        <v>0.5</v>
      </c>
      <c r="I917" s="355"/>
      <c r="J917" s="79">
        <f>-6*1.6*0.5</f>
        <v>-4.8000000000000007</v>
      </c>
    </row>
    <row r="918" spans="1:10" x14ac:dyDescent="0.3">
      <c r="A918" s="247"/>
      <c r="B918" s="73"/>
      <c r="C918" s="74"/>
      <c r="D918" s="75" t="s">
        <v>1550</v>
      </c>
      <c r="E918" s="82"/>
      <c r="F918" s="358" t="s">
        <v>506</v>
      </c>
      <c r="G918" s="359"/>
      <c r="H918" s="354">
        <v>1.1000000000000001</v>
      </c>
      <c r="I918" s="355"/>
      <c r="J918" s="79">
        <f>-24*1.8*1.1</f>
        <v>-47.52000000000001</v>
      </c>
    </row>
    <row r="919" spans="1:10" x14ac:dyDescent="0.3">
      <c r="A919" s="247"/>
      <c r="B919" s="73"/>
      <c r="C919" s="74"/>
      <c r="D919" s="75" t="s">
        <v>1550</v>
      </c>
      <c r="E919" s="82"/>
      <c r="F919" s="358">
        <v>1.7</v>
      </c>
      <c r="G919" s="359"/>
      <c r="H919" s="354">
        <v>1</v>
      </c>
      <c r="I919" s="355"/>
      <c r="J919" s="79">
        <f>-1.7*1</f>
        <v>-1.7</v>
      </c>
    </row>
    <row r="920" spans="1:10" x14ac:dyDescent="0.3">
      <c r="A920" s="247"/>
      <c r="B920" s="73"/>
      <c r="C920" s="74"/>
      <c r="D920" s="75" t="s">
        <v>1550</v>
      </c>
      <c r="E920" s="82"/>
      <c r="F920" s="358" t="s">
        <v>507</v>
      </c>
      <c r="G920" s="359"/>
      <c r="H920" s="354">
        <v>0.5</v>
      </c>
      <c r="I920" s="355"/>
      <c r="J920" s="79">
        <f>-13*0.5*0.5</f>
        <v>-3.25</v>
      </c>
    </row>
    <row r="921" spans="1:10" x14ac:dyDescent="0.3">
      <c r="A921" s="247"/>
      <c r="B921" s="73"/>
      <c r="C921" s="74"/>
      <c r="D921" s="75" t="s">
        <v>1550</v>
      </c>
      <c r="E921" s="82"/>
      <c r="F921" s="358" t="s">
        <v>508</v>
      </c>
      <c r="G921" s="359"/>
      <c r="H921" s="354">
        <v>1.1000000000000001</v>
      </c>
      <c r="I921" s="355"/>
      <c r="J921" s="79">
        <f>-15*1.6*1.1</f>
        <v>-26.400000000000002</v>
      </c>
    </row>
    <row r="922" spans="1:10" x14ac:dyDescent="0.3">
      <c r="A922" s="247"/>
      <c r="B922" s="73"/>
      <c r="C922" s="74"/>
      <c r="D922" s="75" t="s">
        <v>1550</v>
      </c>
      <c r="E922" s="82"/>
      <c r="F922" s="358" t="s">
        <v>508</v>
      </c>
      <c r="G922" s="359"/>
      <c r="H922" s="354">
        <v>0.5</v>
      </c>
      <c r="I922" s="355"/>
      <c r="J922" s="79">
        <f>-15*1.6*0.5</f>
        <v>-12</v>
      </c>
    </row>
    <row r="923" spans="1:10" x14ac:dyDescent="0.3">
      <c r="A923" s="247"/>
      <c r="B923" s="73"/>
      <c r="C923" s="74"/>
      <c r="D923" s="75" t="s">
        <v>1000</v>
      </c>
      <c r="E923" s="82"/>
      <c r="F923" s="358">
        <v>3.6</v>
      </c>
      <c r="G923" s="359"/>
      <c r="H923" s="354">
        <v>1.65</v>
      </c>
      <c r="I923" s="355"/>
      <c r="J923" s="79">
        <f>-H923*F923</f>
        <v>-5.9399999999999995</v>
      </c>
    </row>
    <row r="924" spans="1:10" x14ac:dyDescent="0.3">
      <c r="A924" s="247"/>
      <c r="B924" s="73"/>
      <c r="C924" s="74"/>
      <c r="D924" s="75" t="s">
        <v>1000</v>
      </c>
      <c r="E924" s="82"/>
      <c r="F924" s="358">
        <v>2</v>
      </c>
      <c r="G924" s="359"/>
      <c r="H924" s="354">
        <v>1</v>
      </c>
      <c r="I924" s="355"/>
      <c r="J924" s="79">
        <f>-H924*F924</f>
        <v>-2</v>
      </c>
    </row>
    <row r="925" spans="1:10" x14ac:dyDescent="0.3">
      <c r="A925" s="247"/>
      <c r="B925" s="73"/>
      <c r="C925" s="74"/>
      <c r="D925" s="75" t="s">
        <v>1000</v>
      </c>
      <c r="E925" s="82"/>
      <c r="F925" s="358">
        <v>3</v>
      </c>
      <c r="G925" s="359"/>
      <c r="H925" s="354">
        <v>2.6</v>
      </c>
      <c r="I925" s="355"/>
      <c r="J925" s="79">
        <f>-H925*F925</f>
        <v>-7.8000000000000007</v>
      </c>
    </row>
    <row r="926" spans="1:10" x14ac:dyDescent="0.3">
      <c r="A926" s="247"/>
      <c r="B926" s="73"/>
      <c r="C926" s="74"/>
      <c r="D926" s="75" t="s">
        <v>1117</v>
      </c>
      <c r="E926" s="82" t="s">
        <v>1097</v>
      </c>
      <c r="F926" s="358" t="s">
        <v>1119</v>
      </c>
      <c r="G926" s="359"/>
      <c r="H926" s="354">
        <v>0.5</v>
      </c>
      <c r="I926" s="355"/>
      <c r="J926" s="79">
        <f>(36.79 + 6*6.15)*H926</f>
        <v>36.844999999999999</v>
      </c>
    </row>
    <row r="927" spans="1:10" x14ac:dyDescent="0.3">
      <c r="A927" s="247"/>
      <c r="B927" s="73"/>
      <c r="C927" s="74"/>
      <c r="D927" s="75" t="s">
        <v>1122</v>
      </c>
      <c r="E927" s="82"/>
      <c r="F927" s="358" t="s">
        <v>1123</v>
      </c>
      <c r="G927" s="359"/>
      <c r="H927" s="354">
        <v>1.2</v>
      </c>
      <c r="I927" s="355"/>
      <c r="J927" s="79">
        <f>(16.1+26.95+16.1+26.95)*H927</f>
        <v>103.32</v>
      </c>
    </row>
    <row r="928" spans="1:10" x14ac:dyDescent="0.3">
      <c r="A928" s="247"/>
      <c r="B928" s="73"/>
      <c r="C928" s="74"/>
      <c r="D928" s="75" t="s">
        <v>1468</v>
      </c>
      <c r="E928" s="82"/>
      <c r="F928" s="358" t="s">
        <v>1469</v>
      </c>
      <c r="G928" s="359"/>
      <c r="H928" s="354">
        <v>2.8</v>
      </c>
      <c r="I928" s="355"/>
      <c r="J928" s="79">
        <f>(1.1+1.1+3.5)*H928</f>
        <v>15.959999999999999</v>
      </c>
    </row>
    <row r="929" spans="1:10" x14ac:dyDescent="0.3">
      <c r="A929" s="247"/>
      <c r="B929" s="73"/>
      <c r="C929" s="74"/>
      <c r="D929" s="75" t="s">
        <v>1551</v>
      </c>
      <c r="E929" s="82"/>
      <c r="F929" s="358" t="s">
        <v>1471</v>
      </c>
      <c r="G929" s="359"/>
      <c r="H929" s="354">
        <v>2.1</v>
      </c>
      <c r="I929" s="355"/>
      <c r="J929" s="79">
        <f>-0.75*4*H929</f>
        <v>-6.3000000000000007</v>
      </c>
    </row>
    <row r="930" spans="1:10" x14ac:dyDescent="0.3">
      <c r="A930" s="384" t="s">
        <v>981</v>
      </c>
      <c r="B930" s="385"/>
      <c r="C930" s="385"/>
      <c r="D930" s="385"/>
      <c r="E930" s="385"/>
      <c r="F930" s="385"/>
      <c r="G930" s="385"/>
      <c r="H930" s="385"/>
      <c r="I930" s="386"/>
      <c r="J930" s="76">
        <f>SUM(J915:J929)*2</f>
        <v>2949.8500000000004</v>
      </c>
    </row>
    <row r="931" spans="1:10" ht="90.75" customHeight="1" x14ac:dyDescent="0.3">
      <c r="A931" s="251"/>
      <c r="B931" s="90"/>
      <c r="C931" s="91"/>
      <c r="D931" s="86" t="s">
        <v>495</v>
      </c>
      <c r="E931" s="91"/>
      <c r="F931" s="358" t="s">
        <v>874</v>
      </c>
      <c r="G931" s="359"/>
      <c r="H931" s="354">
        <v>3</v>
      </c>
      <c r="I931" s="355"/>
      <c r="J931" s="79">
        <f>(18*3.5+3.5+3.5+3.5+3.5+2.2+1.82+17.39+3.5+5.33+2.3+2+3.35*3+3*3.5+5*3.5+22.05+3.65*3+15.4+1.75+2.36+7.15+2.35+1.6+1.15+7*3.5+27.45+6.5+3.5+3.98*5+3.81)*H931</f>
        <v>900.03</v>
      </c>
    </row>
    <row r="932" spans="1:10" x14ac:dyDescent="0.3">
      <c r="A932" s="247"/>
      <c r="B932" s="73"/>
      <c r="C932" s="74"/>
      <c r="D932" s="75" t="s">
        <v>1549</v>
      </c>
      <c r="E932" s="82"/>
      <c r="F932" s="358" t="s">
        <v>661</v>
      </c>
      <c r="G932" s="359"/>
      <c r="H932" s="354">
        <v>2.1</v>
      </c>
      <c r="I932" s="355"/>
      <c r="J932" s="79">
        <f>-(37*0.8+3*1)*H932</f>
        <v>-68.460000000000008</v>
      </c>
    </row>
    <row r="933" spans="1:10" x14ac:dyDescent="0.3">
      <c r="A933" s="247"/>
      <c r="B933" s="73"/>
      <c r="C933" s="74"/>
      <c r="D933" s="75" t="s">
        <v>1550</v>
      </c>
      <c r="E933" s="82"/>
      <c r="F933" s="358" t="s">
        <v>509</v>
      </c>
      <c r="G933" s="359"/>
      <c r="H933" s="354">
        <v>0.5</v>
      </c>
      <c r="I933" s="355"/>
      <c r="J933" s="79">
        <f>-3*0.5*0.5</f>
        <v>-0.75</v>
      </c>
    </row>
    <row r="934" spans="1:10" x14ac:dyDescent="0.3">
      <c r="A934" s="247"/>
      <c r="B934" s="73"/>
      <c r="C934" s="74"/>
      <c r="D934" s="75" t="s">
        <v>1000</v>
      </c>
      <c r="E934" s="82"/>
      <c r="F934" s="358" t="s">
        <v>510</v>
      </c>
      <c r="G934" s="359"/>
      <c r="H934" s="354">
        <v>1</v>
      </c>
      <c r="I934" s="355"/>
      <c r="J934" s="79">
        <f>-1*2*H934</f>
        <v>-2</v>
      </c>
    </row>
    <row r="935" spans="1:10" x14ac:dyDescent="0.3">
      <c r="A935" s="384" t="s">
        <v>981</v>
      </c>
      <c r="B935" s="385"/>
      <c r="C935" s="385"/>
      <c r="D935" s="385"/>
      <c r="E935" s="385"/>
      <c r="F935" s="385"/>
      <c r="G935" s="385"/>
      <c r="H935" s="385"/>
      <c r="I935" s="386"/>
      <c r="J935" s="76">
        <f>SUM(J931:J934)*2</f>
        <v>1657.6399999999999</v>
      </c>
    </row>
    <row r="936" spans="1:10" x14ac:dyDescent="0.3">
      <c r="A936" s="251"/>
      <c r="B936" s="90"/>
      <c r="C936" s="91"/>
      <c r="D936" s="86" t="s">
        <v>496</v>
      </c>
      <c r="E936" s="91"/>
      <c r="F936" s="358" t="s">
        <v>511</v>
      </c>
      <c r="G936" s="359"/>
      <c r="H936" s="354">
        <v>4.7300000000000004</v>
      </c>
      <c r="I936" s="355"/>
      <c r="J936" s="79">
        <f>(32.7*2+2.54*2)*H936</f>
        <v>333.37040000000007</v>
      </c>
    </row>
    <row r="937" spans="1:10" x14ac:dyDescent="0.3">
      <c r="A937" s="247"/>
      <c r="B937" s="73"/>
      <c r="C937" s="74"/>
      <c r="D937" s="75" t="s">
        <v>1549</v>
      </c>
      <c r="E937" s="82"/>
      <c r="F937" s="358" t="s">
        <v>512</v>
      </c>
      <c r="G937" s="359"/>
      <c r="H937" s="354">
        <v>2.1</v>
      </c>
      <c r="I937" s="355"/>
      <c r="J937" s="79">
        <f>-18*0.8*H937</f>
        <v>-30.240000000000002</v>
      </c>
    </row>
    <row r="938" spans="1:10" x14ac:dyDescent="0.3">
      <c r="A938" s="247"/>
      <c r="B938" s="73"/>
      <c r="C938" s="74"/>
      <c r="D938" s="75" t="s">
        <v>1552</v>
      </c>
      <c r="E938" s="82"/>
      <c r="F938" s="358" t="s">
        <v>514</v>
      </c>
      <c r="G938" s="359"/>
      <c r="H938" s="354">
        <v>0.3</v>
      </c>
      <c r="I938" s="355"/>
      <c r="J938" s="79">
        <f>-32.7*2*H938</f>
        <v>-19.62</v>
      </c>
    </row>
    <row r="939" spans="1:10" x14ac:dyDescent="0.3">
      <c r="A939" s="247"/>
      <c r="B939" s="73"/>
      <c r="C939" s="74"/>
      <c r="D939" s="75" t="s">
        <v>1000</v>
      </c>
      <c r="E939" s="82"/>
      <c r="F939" s="358">
        <v>3.5</v>
      </c>
      <c r="G939" s="359"/>
      <c r="H939" s="354">
        <v>3</v>
      </c>
      <c r="I939" s="355"/>
      <c r="J939" s="79">
        <f>-3.5*3</f>
        <v>-10.5</v>
      </c>
    </row>
    <row r="940" spans="1:10" x14ac:dyDescent="0.3">
      <c r="A940" s="384" t="s">
        <v>981</v>
      </c>
      <c r="B940" s="385"/>
      <c r="C940" s="385"/>
      <c r="D940" s="385"/>
      <c r="E940" s="385"/>
      <c r="F940" s="385"/>
      <c r="G940" s="385"/>
      <c r="H940" s="385"/>
      <c r="I940" s="386"/>
      <c r="J940" s="76">
        <f>SUM(J936:J939)*2</f>
        <v>546.02080000000012</v>
      </c>
    </row>
    <row r="941" spans="1:10" x14ac:dyDescent="0.3">
      <c r="A941" s="251"/>
      <c r="B941" s="90"/>
      <c r="C941" s="91"/>
      <c r="D941" s="86" t="s">
        <v>497</v>
      </c>
      <c r="E941" s="91"/>
      <c r="F941" s="358" t="s">
        <v>499</v>
      </c>
      <c r="G941" s="359"/>
      <c r="H941" s="354">
        <v>4.3</v>
      </c>
      <c r="I941" s="355"/>
      <c r="J941" s="79">
        <f>(12.4*3+32.12*2)*H941</f>
        <v>436.19199999999995</v>
      </c>
    </row>
    <row r="942" spans="1:10" x14ac:dyDescent="0.3">
      <c r="A942" s="251"/>
      <c r="B942" s="90"/>
      <c r="C942" s="91"/>
      <c r="D942" s="86" t="s">
        <v>500</v>
      </c>
      <c r="E942" s="91"/>
      <c r="F942" s="358">
        <v>2.94</v>
      </c>
      <c r="G942" s="359"/>
      <c r="H942" s="354">
        <v>3</v>
      </c>
      <c r="I942" s="355"/>
      <c r="J942" s="79">
        <f>H942*F942</f>
        <v>8.82</v>
      </c>
    </row>
    <row r="943" spans="1:10" x14ac:dyDescent="0.3">
      <c r="A943" s="247"/>
      <c r="B943" s="73"/>
      <c r="C943" s="74"/>
      <c r="D943" s="75" t="s">
        <v>1549</v>
      </c>
      <c r="E943" s="82"/>
      <c r="F943" s="358" t="s">
        <v>498</v>
      </c>
      <c r="G943" s="359"/>
      <c r="H943" s="354">
        <v>2.5</v>
      </c>
      <c r="I943" s="355"/>
      <c r="J943" s="79">
        <f>-2*2*2.5</f>
        <v>-10</v>
      </c>
    </row>
    <row r="944" spans="1:10" x14ac:dyDescent="0.3">
      <c r="A944" s="247"/>
      <c r="B944" s="73"/>
      <c r="C944" s="74"/>
      <c r="D944" s="75" t="s">
        <v>1549</v>
      </c>
      <c r="E944" s="82"/>
      <c r="F944" s="358" t="s">
        <v>501</v>
      </c>
      <c r="G944" s="359"/>
      <c r="H944" s="354">
        <v>2.1</v>
      </c>
      <c r="I944" s="355"/>
      <c r="J944" s="79">
        <f>-0.8*4*2.1</f>
        <v>-6.7200000000000006</v>
      </c>
    </row>
    <row r="945" spans="1:10" x14ac:dyDescent="0.3">
      <c r="A945" s="247"/>
      <c r="B945" s="73"/>
      <c r="C945" s="74"/>
      <c r="D945" s="75" t="s">
        <v>1550</v>
      </c>
      <c r="E945" s="82"/>
      <c r="F945" s="358" t="s">
        <v>502</v>
      </c>
      <c r="G945" s="359"/>
      <c r="H945" s="354">
        <v>0.5</v>
      </c>
      <c r="I945" s="355"/>
      <c r="J945" s="79">
        <f>-3*10*0.5</f>
        <v>-15</v>
      </c>
    </row>
    <row r="946" spans="1:10" x14ac:dyDescent="0.3">
      <c r="A946" s="247"/>
      <c r="B946" s="73"/>
      <c r="C946" s="74"/>
      <c r="D946" s="75" t="s">
        <v>1550</v>
      </c>
      <c r="E946" s="82"/>
      <c r="F946" s="358" t="s">
        <v>503</v>
      </c>
      <c r="G946" s="359"/>
      <c r="H946" s="354">
        <v>0.5</v>
      </c>
      <c r="I946" s="355"/>
      <c r="J946" s="79">
        <f>-1.6*2*0.5</f>
        <v>-1.6</v>
      </c>
    </row>
    <row r="947" spans="1:10" x14ac:dyDescent="0.3">
      <c r="A947" s="384" t="s">
        <v>981</v>
      </c>
      <c r="B947" s="385"/>
      <c r="C947" s="385"/>
      <c r="D947" s="385"/>
      <c r="E947" s="385"/>
      <c r="F947" s="385"/>
      <c r="G947" s="385"/>
      <c r="H947" s="385"/>
      <c r="I947" s="386"/>
      <c r="J947" s="76">
        <f>SUM(J941:J946)*2</f>
        <v>823.38399999999979</v>
      </c>
    </row>
    <row r="948" spans="1:10" x14ac:dyDescent="0.3">
      <c r="A948" s="247"/>
      <c r="B948" s="73"/>
      <c r="C948" s="74"/>
      <c r="D948" s="75" t="s">
        <v>603</v>
      </c>
      <c r="E948" s="82"/>
      <c r="F948" s="88">
        <v>24.98</v>
      </c>
      <c r="G948" s="88">
        <v>12.37</v>
      </c>
      <c r="H948" s="354">
        <v>1</v>
      </c>
      <c r="I948" s="355"/>
      <c r="J948" s="76">
        <f>F948*G948*H948</f>
        <v>309.00259999999997</v>
      </c>
    </row>
    <row r="949" spans="1:10" x14ac:dyDescent="0.3">
      <c r="A949" s="247"/>
      <c r="B949" s="73"/>
      <c r="C949" s="74"/>
      <c r="D949" s="75" t="s">
        <v>709</v>
      </c>
      <c r="E949" s="82"/>
      <c r="F949" s="88">
        <v>24.98</v>
      </c>
      <c r="G949" s="88">
        <v>1.25</v>
      </c>
      <c r="H949" s="354">
        <v>2</v>
      </c>
      <c r="I949" s="355"/>
      <c r="J949" s="76">
        <f>F949*G949*H949</f>
        <v>62.45</v>
      </c>
    </row>
    <row r="950" spans="1:10" x14ac:dyDescent="0.3">
      <c r="A950" s="247"/>
      <c r="B950" s="73"/>
      <c r="C950" s="74"/>
      <c r="D950" s="75" t="s">
        <v>604</v>
      </c>
      <c r="E950" s="82"/>
      <c r="F950" s="88">
        <v>12.37</v>
      </c>
      <c r="G950" s="88">
        <v>1.25</v>
      </c>
      <c r="H950" s="354">
        <v>2</v>
      </c>
      <c r="I950" s="355"/>
      <c r="J950" s="76">
        <f>F950*G950*H950</f>
        <v>30.924999999999997</v>
      </c>
    </row>
    <row r="951" spans="1:10" x14ac:dyDescent="0.3">
      <c r="A951" s="384" t="s">
        <v>982</v>
      </c>
      <c r="B951" s="385"/>
      <c r="C951" s="385"/>
      <c r="D951" s="385"/>
      <c r="E951" s="385"/>
      <c r="F951" s="385"/>
      <c r="G951" s="385"/>
      <c r="H951" s="385"/>
      <c r="I951" s="386"/>
      <c r="J951" s="76">
        <f>SUM(J948:J950)</f>
        <v>402.37759999999997</v>
      </c>
    </row>
    <row r="952" spans="1:10" ht="15" thickBot="1" x14ac:dyDescent="0.35">
      <c r="A952" s="364" t="s">
        <v>64</v>
      </c>
      <c r="B952" s="365"/>
      <c r="C952" s="365"/>
      <c r="D952" s="365"/>
      <c r="E952" s="365"/>
      <c r="F952" s="365"/>
      <c r="G952" s="365"/>
      <c r="H952" s="365"/>
      <c r="I952" s="366"/>
      <c r="J952" s="275">
        <f>J951+J947+J940+J935+J930</f>
        <v>6379.2723999999998</v>
      </c>
    </row>
    <row r="953" spans="1:10" x14ac:dyDescent="0.3">
      <c r="A953" s="247" t="str">
        <f>ORÇAMENTO!A425</f>
        <v>17.2</v>
      </c>
      <c r="B953" s="73" t="str">
        <f>ORÇAMENTO!B425</f>
        <v>GOINFRA</v>
      </c>
      <c r="C953" s="74">
        <f>ORÇAMENTO!C425</f>
        <v>200201</v>
      </c>
      <c r="D953" s="75" t="str">
        <f>ORÇAMENTO!D425</f>
        <v xml:space="preserve">EMBOÇO (1CI:4 ARML) </v>
      </c>
      <c r="E953" s="74" t="str">
        <f>ORÇAMENTO!F425</f>
        <v>m2</v>
      </c>
      <c r="F953" s="88" t="s">
        <v>101</v>
      </c>
      <c r="G953" s="88" t="s">
        <v>555</v>
      </c>
      <c r="H953" s="371" t="s">
        <v>708</v>
      </c>
      <c r="I953" s="373"/>
      <c r="J953" s="79" t="s">
        <v>86</v>
      </c>
    </row>
    <row r="954" spans="1:10" x14ac:dyDescent="0.3">
      <c r="A954" s="247"/>
      <c r="B954" s="73"/>
      <c r="C954" s="74"/>
      <c r="D954" s="75" t="s">
        <v>603</v>
      </c>
      <c r="E954" s="82"/>
      <c r="F954" s="88">
        <v>24.98</v>
      </c>
      <c r="G954" s="88">
        <v>12.37</v>
      </c>
      <c r="H954" s="354">
        <v>1</v>
      </c>
      <c r="I954" s="355"/>
      <c r="J954" s="76">
        <f>F954*G954*H954</f>
        <v>309.00259999999997</v>
      </c>
    </row>
    <row r="955" spans="1:10" x14ac:dyDescent="0.3">
      <c r="A955" s="247"/>
      <c r="B955" s="73"/>
      <c r="C955" s="74"/>
      <c r="D955" s="75" t="s">
        <v>709</v>
      </c>
      <c r="E955" s="82"/>
      <c r="F955" s="88">
        <v>24.98</v>
      </c>
      <c r="G955" s="88">
        <v>1.25</v>
      </c>
      <c r="H955" s="354">
        <v>2</v>
      </c>
      <c r="I955" s="355"/>
      <c r="J955" s="76">
        <f>F955*G955*H955</f>
        <v>62.45</v>
      </c>
    </row>
    <row r="956" spans="1:10" x14ac:dyDescent="0.3">
      <c r="A956" s="247"/>
      <c r="B956" s="73"/>
      <c r="C956" s="74"/>
      <c r="D956" s="75" t="s">
        <v>604</v>
      </c>
      <c r="E956" s="82"/>
      <c r="F956" s="88">
        <v>12.37</v>
      </c>
      <c r="G956" s="88">
        <v>1.25</v>
      </c>
      <c r="H956" s="354">
        <v>2</v>
      </c>
      <c r="I956" s="355"/>
      <c r="J956" s="76">
        <f>F956*G956*H956</f>
        <v>30.924999999999997</v>
      </c>
    </row>
    <row r="957" spans="1:10" x14ac:dyDescent="0.3">
      <c r="A957" s="247"/>
      <c r="B957" s="73"/>
      <c r="C957" s="74"/>
      <c r="D957" s="75" t="s">
        <v>750</v>
      </c>
      <c r="E957" s="82"/>
      <c r="F957" s="354">
        <f>J1056</f>
        <v>856.32000000000039</v>
      </c>
      <c r="G957" s="369"/>
      <c r="H957" s="369"/>
      <c r="I957" s="355"/>
      <c r="J957" s="76">
        <f>F957</f>
        <v>856.32000000000039</v>
      </c>
    </row>
    <row r="958" spans="1:10" ht="15" thickBot="1" x14ac:dyDescent="0.35">
      <c r="A958" s="364" t="s">
        <v>64</v>
      </c>
      <c r="B958" s="365"/>
      <c r="C958" s="365"/>
      <c r="D958" s="365"/>
      <c r="E958" s="365"/>
      <c r="F958" s="365"/>
      <c r="G958" s="365"/>
      <c r="H958" s="365"/>
      <c r="I958" s="366"/>
      <c r="J958" s="275">
        <f>SUM(J954:J957)</f>
        <v>1258.6976000000004</v>
      </c>
    </row>
    <row r="959" spans="1:10" x14ac:dyDescent="0.3">
      <c r="A959" s="247" t="str">
        <f>ORÇAMENTO!A426</f>
        <v>17.3</v>
      </c>
      <c r="B959" s="73" t="str">
        <f>ORÇAMENTO!B426</f>
        <v>GOINFRA</v>
      </c>
      <c r="C959" s="74">
        <f>ORÇAMENTO!C426</f>
        <v>200403</v>
      </c>
      <c r="D959" s="75" t="str">
        <f>ORÇAMENTO!D426</f>
        <v>REBOCO (1 CALH:4 ARFC+100kgCI/M3)</v>
      </c>
      <c r="E959" s="74" t="str">
        <f>ORÇAMENTO!F426</f>
        <v>m2</v>
      </c>
      <c r="F959" s="88" t="s">
        <v>101</v>
      </c>
      <c r="G959" s="88" t="s">
        <v>555</v>
      </c>
      <c r="H959" s="371" t="s">
        <v>708</v>
      </c>
      <c r="I959" s="373"/>
      <c r="J959" s="79" t="s">
        <v>86</v>
      </c>
    </row>
    <row r="960" spans="1:10" x14ac:dyDescent="0.3">
      <c r="A960" s="247"/>
      <c r="B960" s="73"/>
      <c r="C960" s="74"/>
      <c r="D960" s="75" t="s">
        <v>1555</v>
      </c>
      <c r="E960" s="74"/>
      <c r="F960" s="354">
        <f>J952-J958</f>
        <v>5120.5747999999994</v>
      </c>
      <c r="G960" s="369"/>
      <c r="H960" s="369"/>
      <c r="I960" s="355"/>
      <c r="J960" s="79">
        <f>F960</f>
        <v>5120.5747999999994</v>
      </c>
    </row>
    <row r="961" spans="1:10" ht="15" thickBot="1" x14ac:dyDescent="0.35">
      <c r="A961" s="364" t="s">
        <v>64</v>
      </c>
      <c r="B961" s="365"/>
      <c r="C961" s="365"/>
      <c r="D961" s="365"/>
      <c r="E961" s="365"/>
      <c r="F961" s="365"/>
      <c r="G961" s="365"/>
      <c r="H961" s="365"/>
      <c r="I961" s="366"/>
      <c r="J961" s="275">
        <f>SUM(J960)</f>
        <v>5120.5747999999994</v>
      </c>
    </row>
    <row r="962" spans="1:10" x14ac:dyDescent="0.3">
      <c r="A962" s="247" t="str">
        <f>ORÇAMENTO!A427</f>
        <v>17.4</v>
      </c>
      <c r="B962" s="73" t="str">
        <f>ORÇAMENTO!B427</f>
        <v>GOINFRA</v>
      </c>
      <c r="C962" s="74">
        <f>ORÇAMENTO!C427</f>
        <v>201003</v>
      </c>
      <c r="D962" s="75" t="str">
        <f>ORÇAMENTO!D427</f>
        <v xml:space="preserve">PASTILHA PORCELANA C/ARGAMASSA FLEXIVEL </v>
      </c>
      <c r="E962" s="74" t="str">
        <f>ORÇAMENTO!F427</f>
        <v>m2</v>
      </c>
      <c r="F962" s="88" t="s">
        <v>101</v>
      </c>
      <c r="G962" s="88" t="s">
        <v>555</v>
      </c>
      <c r="H962" s="371" t="s">
        <v>708</v>
      </c>
      <c r="I962" s="373"/>
      <c r="J962" s="79" t="s">
        <v>86</v>
      </c>
    </row>
    <row r="963" spans="1:10" x14ac:dyDescent="0.3">
      <c r="A963" s="247"/>
      <c r="B963" s="73"/>
      <c r="C963" s="74"/>
      <c r="D963" s="75" t="s">
        <v>603</v>
      </c>
      <c r="E963" s="82"/>
      <c r="F963" s="88">
        <v>24.98</v>
      </c>
      <c r="G963" s="88">
        <v>12.37</v>
      </c>
      <c r="H963" s="354">
        <v>1</v>
      </c>
      <c r="I963" s="355"/>
      <c r="J963" s="76">
        <f>F963*G963*H963</f>
        <v>309.00259999999997</v>
      </c>
    </row>
    <row r="964" spans="1:10" x14ac:dyDescent="0.3">
      <c r="A964" s="247"/>
      <c r="B964" s="73"/>
      <c r="C964" s="74"/>
      <c r="D964" s="75" t="s">
        <v>709</v>
      </c>
      <c r="E964" s="82"/>
      <c r="F964" s="88">
        <v>24.98</v>
      </c>
      <c r="G964" s="88">
        <v>1.25</v>
      </c>
      <c r="H964" s="354">
        <v>2</v>
      </c>
      <c r="I964" s="355"/>
      <c r="J964" s="76">
        <f>F964*G964*H964</f>
        <v>62.45</v>
      </c>
    </row>
    <row r="965" spans="1:10" x14ac:dyDescent="0.3">
      <c r="A965" s="247"/>
      <c r="B965" s="73"/>
      <c r="C965" s="74"/>
      <c r="D965" s="75" t="s">
        <v>604</v>
      </c>
      <c r="E965" s="82"/>
      <c r="F965" s="88">
        <v>12.37</v>
      </c>
      <c r="G965" s="88">
        <v>1.25</v>
      </c>
      <c r="H965" s="354">
        <v>2</v>
      </c>
      <c r="I965" s="355"/>
      <c r="J965" s="76">
        <f>F965*G965*H965</f>
        <v>30.924999999999997</v>
      </c>
    </row>
    <row r="966" spans="1:10" ht="15" thickBot="1" x14ac:dyDescent="0.35">
      <c r="A966" s="364" t="s">
        <v>64</v>
      </c>
      <c r="B966" s="365"/>
      <c r="C966" s="365"/>
      <c r="D966" s="365"/>
      <c r="E966" s="365"/>
      <c r="F966" s="365"/>
      <c r="G966" s="365"/>
      <c r="H966" s="365"/>
      <c r="I966" s="366"/>
      <c r="J966" s="275">
        <f>SUM(J963:J965)</f>
        <v>402.37759999999997</v>
      </c>
    </row>
    <row r="967" spans="1:10" x14ac:dyDescent="0.3">
      <c r="A967" s="247" t="str">
        <f>ORÇAMENTO!A428</f>
        <v>17.5</v>
      </c>
      <c r="B967" s="73" t="str">
        <f>ORÇAMENTO!B428</f>
        <v>GOINFRA</v>
      </c>
      <c r="C967" s="74">
        <f>ORÇAMENTO!C428</f>
        <v>201302</v>
      </c>
      <c r="D967" s="75" t="str">
        <f>ORÇAMENTO!D428</f>
        <v xml:space="preserve">REVESTIMENTO COM CERÂMICA </v>
      </c>
      <c r="E967" s="74" t="str">
        <f>ORÇAMENTO!F428</f>
        <v>m2</v>
      </c>
      <c r="F967" s="377" t="s">
        <v>101</v>
      </c>
      <c r="G967" s="378"/>
      <c r="H967" s="371" t="s">
        <v>118</v>
      </c>
      <c r="I967" s="373"/>
      <c r="J967" s="79" t="s">
        <v>86</v>
      </c>
    </row>
    <row r="968" spans="1:10" x14ac:dyDescent="0.3">
      <c r="A968" s="247"/>
      <c r="B968" s="73"/>
      <c r="C968" s="74"/>
      <c r="D968" s="86" t="s">
        <v>516</v>
      </c>
      <c r="E968" s="74"/>
      <c r="F968" s="358" t="s">
        <v>710</v>
      </c>
      <c r="G968" s="359"/>
      <c r="H968" s="354">
        <v>3</v>
      </c>
      <c r="I968" s="355"/>
      <c r="J968" s="79">
        <f>(9.84+3.98+9.84+3.98)*H968</f>
        <v>82.92</v>
      </c>
    </row>
    <row r="969" spans="1:10" x14ac:dyDescent="0.3">
      <c r="A969" s="247"/>
      <c r="B969" s="73"/>
      <c r="C969" s="74"/>
      <c r="D969" s="75" t="s">
        <v>711</v>
      </c>
      <c r="E969" s="82"/>
      <c r="F969" s="358">
        <v>0.8</v>
      </c>
      <c r="G969" s="359"/>
      <c r="H969" s="354">
        <v>2.1</v>
      </c>
      <c r="I969" s="355"/>
      <c r="J969" s="79">
        <f>-F969*H969</f>
        <v>-1.6800000000000002</v>
      </c>
    </row>
    <row r="970" spans="1:10" x14ac:dyDescent="0.3">
      <c r="A970" s="247"/>
      <c r="B970" s="73"/>
      <c r="C970" s="74"/>
      <c r="D970" s="75" t="s">
        <v>712</v>
      </c>
      <c r="E970" s="82"/>
      <c r="F970" s="358" t="s">
        <v>713</v>
      </c>
      <c r="G970" s="359"/>
      <c r="H970" s="354">
        <v>0.5</v>
      </c>
      <c r="I970" s="355"/>
      <c r="J970" s="79">
        <f>-3*1.6*H970</f>
        <v>-2.4000000000000004</v>
      </c>
    </row>
    <row r="971" spans="1:10" x14ac:dyDescent="0.3">
      <c r="A971" s="247"/>
      <c r="B971" s="73"/>
      <c r="C971" s="74"/>
      <c r="D971" s="86" t="s">
        <v>714</v>
      </c>
      <c r="E971" s="82"/>
      <c r="F971" s="358" t="s">
        <v>715</v>
      </c>
      <c r="G971" s="359"/>
      <c r="H971" s="354">
        <v>3</v>
      </c>
      <c r="I971" s="355"/>
      <c r="J971" s="79">
        <f>(1.68+2+1.68+2)*H971</f>
        <v>22.08</v>
      </c>
    </row>
    <row r="972" spans="1:10" x14ac:dyDescent="0.3">
      <c r="A972" s="247"/>
      <c r="B972" s="73"/>
      <c r="C972" s="74"/>
      <c r="D972" s="75" t="s">
        <v>711</v>
      </c>
      <c r="E972" s="82"/>
      <c r="F972" s="358">
        <v>0.8</v>
      </c>
      <c r="G972" s="359"/>
      <c r="H972" s="354">
        <v>2.1</v>
      </c>
      <c r="I972" s="355"/>
      <c r="J972" s="79">
        <f>-F972*H972</f>
        <v>-1.6800000000000002</v>
      </c>
    </row>
    <row r="973" spans="1:10" x14ac:dyDescent="0.3">
      <c r="A973" s="247"/>
      <c r="B973" s="73"/>
      <c r="C973" s="74"/>
      <c r="D973" s="75" t="s">
        <v>712</v>
      </c>
      <c r="E973" s="82"/>
      <c r="F973" s="358">
        <v>0.5</v>
      </c>
      <c r="G973" s="359"/>
      <c r="H973" s="354">
        <v>0.5</v>
      </c>
      <c r="I973" s="355"/>
      <c r="J973" s="79">
        <f>-F973*H973</f>
        <v>-0.25</v>
      </c>
    </row>
    <row r="974" spans="1:10" x14ac:dyDescent="0.3">
      <c r="A974" s="247"/>
      <c r="B974" s="73"/>
      <c r="C974" s="74"/>
      <c r="D974" s="86" t="s">
        <v>716</v>
      </c>
      <c r="E974" s="82"/>
      <c r="F974" s="358" t="s">
        <v>715</v>
      </c>
      <c r="G974" s="359"/>
      <c r="H974" s="354">
        <v>3</v>
      </c>
      <c r="I974" s="355"/>
      <c r="J974" s="79">
        <f>(1.68+2+1.68+2)*H974</f>
        <v>22.08</v>
      </c>
    </row>
    <row r="975" spans="1:10" x14ac:dyDescent="0.3">
      <c r="A975" s="247"/>
      <c r="B975" s="73"/>
      <c r="C975" s="74"/>
      <c r="D975" s="75" t="s">
        <v>711</v>
      </c>
      <c r="E975" s="82"/>
      <c r="F975" s="358">
        <v>0.8</v>
      </c>
      <c r="G975" s="359"/>
      <c r="H975" s="354">
        <v>2.1</v>
      </c>
      <c r="I975" s="355"/>
      <c r="J975" s="79">
        <f>-F975*H975</f>
        <v>-1.6800000000000002</v>
      </c>
    </row>
    <row r="976" spans="1:10" x14ac:dyDescent="0.3">
      <c r="A976" s="247"/>
      <c r="B976" s="73"/>
      <c r="C976" s="74"/>
      <c r="D976" s="75" t="s">
        <v>712</v>
      </c>
      <c r="E976" s="82"/>
      <c r="F976" s="358">
        <v>0.5</v>
      </c>
      <c r="G976" s="359"/>
      <c r="H976" s="354">
        <v>0.5</v>
      </c>
      <c r="I976" s="355"/>
      <c r="J976" s="79">
        <f>-F976*H976</f>
        <v>-0.25</v>
      </c>
    </row>
    <row r="977" spans="1:10" x14ac:dyDescent="0.3">
      <c r="A977" s="247"/>
      <c r="B977" s="73"/>
      <c r="C977" s="74"/>
      <c r="D977" s="86" t="s">
        <v>717</v>
      </c>
      <c r="E977" s="82"/>
      <c r="F977" s="358" t="s">
        <v>718</v>
      </c>
      <c r="G977" s="359"/>
      <c r="H977" s="354">
        <v>3</v>
      </c>
      <c r="I977" s="355"/>
      <c r="J977" s="79">
        <f>(3.5+1.68+3.5+1.68)*H977</f>
        <v>31.08</v>
      </c>
    </row>
    <row r="978" spans="1:10" x14ac:dyDescent="0.3">
      <c r="A978" s="247"/>
      <c r="B978" s="73"/>
      <c r="C978" s="74"/>
      <c r="D978" s="75" t="s">
        <v>711</v>
      </c>
      <c r="E978" s="82"/>
      <c r="F978" s="358">
        <v>0.8</v>
      </c>
      <c r="G978" s="359"/>
      <c r="H978" s="354">
        <v>2.1</v>
      </c>
      <c r="I978" s="355"/>
      <c r="J978" s="79">
        <f>-F978*H978</f>
        <v>-1.6800000000000002</v>
      </c>
    </row>
    <row r="979" spans="1:10" x14ac:dyDescent="0.3">
      <c r="A979" s="251"/>
      <c r="B979" s="90"/>
      <c r="C979" s="91"/>
      <c r="D979" s="75" t="s">
        <v>712</v>
      </c>
      <c r="E979" s="91"/>
      <c r="F979" s="358">
        <v>0.5</v>
      </c>
      <c r="G979" s="359"/>
      <c r="H979" s="354">
        <v>0.5</v>
      </c>
      <c r="I979" s="355"/>
      <c r="J979" s="79">
        <f>-F979*H979</f>
        <v>-0.25</v>
      </c>
    </row>
    <row r="980" spans="1:10" x14ac:dyDescent="0.3">
      <c r="A980" s="251"/>
      <c r="B980" s="90"/>
      <c r="C980" s="91"/>
      <c r="D980" s="86" t="s">
        <v>719</v>
      </c>
      <c r="E980" s="91"/>
      <c r="F980" s="358" t="s">
        <v>876</v>
      </c>
      <c r="G980" s="359"/>
      <c r="H980" s="354">
        <v>3</v>
      </c>
      <c r="I980" s="355"/>
      <c r="J980" s="79">
        <f>(2.2+1.68+2.2+1.68)*H980</f>
        <v>23.28</v>
      </c>
    </row>
    <row r="981" spans="1:10" x14ac:dyDescent="0.3">
      <c r="A981" s="247"/>
      <c r="B981" s="73"/>
      <c r="C981" s="74"/>
      <c r="D981" s="75" t="s">
        <v>711</v>
      </c>
      <c r="E981" s="82"/>
      <c r="F981" s="358">
        <v>0.8</v>
      </c>
      <c r="G981" s="359"/>
      <c r="H981" s="354">
        <v>2.1</v>
      </c>
      <c r="I981" s="355"/>
      <c r="J981" s="79">
        <f>-F981*H981</f>
        <v>-1.6800000000000002</v>
      </c>
    </row>
    <row r="982" spans="1:10" x14ac:dyDescent="0.3">
      <c r="A982" s="247"/>
      <c r="B982" s="73"/>
      <c r="C982" s="74"/>
      <c r="D982" s="75" t="s">
        <v>712</v>
      </c>
      <c r="E982" s="82"/>
      <c r="F982" s="358">
        <v>0.5</v>
      </c>
      <c r="G982" s="359"/>
      <c r="H982" s="354">
        <v>0.5</v>
      </c>
      <c r="I982" s="355"/>
      <c r="J982" s="79">
        <f>-F982*H982</f>
        <v>-0.25</v>
      </c>
    </row>
    <row r="983" spans="1:10" x14ac:dyDescent="0.3">
      <c r="A983" s="251"/>
      <c r="B983" s="90"/>
      <c r="C983" s="91"/>
      <c r="D983" s="99" t="s">
        <v>616</v>
      </c>
      <c r="E983" s="91"/>
      <c r="F983" s="358" t="s">
        <v>877</v>
      </c>
      <c r="G983" s="359"/>
      <c r="H983" s="354">
        <v>3</v>
      </c>
      <c r="I983" s="355"/>
      <c r="J983" s="100">
        <f>(3.5+3.5+3.5+3.5)*H983</f>
        <v>42</v>
      </c>
    </row>
    <row r="984" spans="1:10" x14ac:dyDescent="0.3">
      <c r="A984" s="251"/>
      <c r="B984" s="90"/>
      <c r="C984" s="91"/>
      <c r="D984" s="75" t="s">
        <v>711</v>
      </c>
      <c r="E984" s="91"/>
      <c r="F984" s="358" t="s">
        <v>510</v>
      </c>
      <c r="G984" s="359"/>
      <c r="H984" s="354">
        <v>2.1</v>
      </c>
      <c r="I984" s="355"/>
      <c r="J984" s="79">
        <f>2*1*2.1</f>
        <v>4.2</v>
      </c>
    </row>
    <row r="985" spans="1:10" x14ac:dyDescent="0.3">
      <c r="A985" s="247"/>
      <c r="B985" s="73"/>
      <c r="C985" s="74"/>
      <c r="D985" s="75" t="s">
        <v>712</v>
      </c>
      <c r="E985" s="82"/>
      <c r="F985" s="358">
        <v>1.6</v>
      </c>
      <c r="G985" s="359"/>
      <c r="H985" s="354">
        <v>0.5</v>
      </c>
      <c r="I985" s="355"/>
      <c r="J985" s="79">
        <f>-F985*H985</f>
        <v>-0.8</v>
      </c>
    </row>
    <row r="986" spans="1:10" x14ac:dyDescent="0.3">
      <c r="A986" s="247"/>
      <c r="B986" s="73"/>
      <c r="C986" s="74"/>
      <c r="D986" s="86" t="s">
        <v>720</v>
      </c>
      <c r="E986" s="82"/>
      <c r="F986" s="358" t="s">
        <v>878</v>
      </c>
      <c r="G986" s="359"/>
      <c r="H986" s="354">
        <v>3</v>
      </c>
      <c r="I986" s="355"/>
      <c r="J986" s="79">
        <f>(1.85+2.3+1.85+2.3)*H986</f>
        <v>24.900000000000002</v>
      </c>
    </row>
    <row r="987" spans="1:10" x14ac:dyDescent="0.3">
      <c r="A987" s="251"/>
      <c r="B987" s="90"/>
      <c r="C987" s="91"/>
      <c r="D987" s="75" t="s">
        <v>711</v>
      </c>
      <c r="E987" s="91"/>
      <c r="F987" s="358" t="s">
        <v>721</v>
      </c>
      <c r="G987" s="359"/>
      <c r="H987" s="354">
        <v>2.1</v>
      </c>
      <c r="I987" s="355"/>
      <c r="J987" s="79">
        <f>-2*0.8*H987</f>
        <v>-3.3600000000000003</v>
      </c>
    </row>
    <row r="988" spans="1:10" x14ac:dyDescent="0.3">
      <c r="A988" s="251"/>
      <c r="B988" s="90"/>
      <c r="C988" s="91"/>
      <c r="D988" s="75" t="s">
        <v>722</v>
      </c>
      <c r="E988" s="91"/>
      <c r="F988" s="358">
        <v>1</v>
      </c>
      <c r="G988" s="359"/>
      <c r="H988" s="354">
        <v>1</v>
      </c>
      <c r="I988" s="355"/>
      <c r="J988" s="79">
        <f>-H988*F988</f>
        <v>-1</v>
      </c>
    </row>
    <row r="989" spans="1:10" x14ac:dyDescent="0.3">
      <c r="A989" s="247"/>
      <c r="B989" s="73"/>
      <c r="C989" s="74"/>
      <c r="D989" s="86" t="s">
        <v>723</v>
      </c>
      <c r="E989" s="82"/>
      <c r="F989" s="358" t="s">
        <v>879</v>
      </c>
      <c r="G989" s="359"/>
      <c r="H989" s="354">
        <v>3</v>
      </c>
      <c r="I989" s="355"/>
      <c r="J989" s="79">
        <f>(3.2+3.5+3.2+3.5)*H989</f>
        <v>40.200000000000003</v>
      </c>
    </row>
    <row r="990" spans="1:10" x14ac:dyDescent="0.3">
      <c r="A990" s="247"/>
      <c r="B990" s="73"/>
      <c r="C990" s="74"/>
      <c r="D990" s="75" t="s">
        <v>711</v>
      </c>
      <c r="E990" s="82"/>
      <c r="F990" s="358" t="s">
        <v>721</v>
      </c>
      <c r="G990" s="359"/>
      <c r="H990" s="354">
        <v>2.1</v>
      </c>
      <c r="I990" s="355"/>
      <c r="J990" s="79">
        <f>-2*0.8*H990</f>
        <v>-3.3600000000000003</v>
      </c>
    </row>
    <row r="991" spans="1:10" x14ac:dyDescent="0.3">
      <c r="A991" s="251"/>
      <c r="B991" s="90"/>
      <c r="C991" s="91"/>
      <c r="D991" s="75" t="s">
        <v>722</v>
      </c>
      <c r="E991" s="91"/>
      <c r="F991" s="358">
        <v>1</v>
      </c>
      <c r="G991" s="359"/>
      <c r="H991" s="354">
        <v>1</v>
      </c>
      <c r="I991" s="355"/>
      <c r="J991" s="79">
        <f>-F991*H991</f>
        <v>-1</v>
      </c>
    </row>
    <row r="992" spans="1:10" x14ac:dyDescent="0.3">
      <c r="A992" s="251"/>
      <c r="B992" s="90"/>
      <c r="C992" s="91"/>
      <c r="D992" s="86" t="s">
        <v>633</v>
      </c>
      <c r="E992" s="91"/>
      <c r="F992" s="358" t="s">
        <v>880</v>
      </c>
      <c r="G992" s="359"/>
      <c r="H992" s="354">
        <v>3</v>
      </c>
      <c r="I992" s="355"/>
      <c r="J992" s="79">
        <f>(2.2+3.5+2.2+3.5)*H992</f>
        <v>34.200000000000003</v>
      </c>
    </row>
    <row r="993" spans="1:10" x14ac:dyDescent="0.3">
      <c r="A993" s="247"/>
      <c r="B993" s="73"/>
      <c r="C993" s="74"/>
      <c r="D993" s="75" t="s">
        <v>711</v>
      </c>
      <c r="E993" s="82"/>
      <c r="F993" s="358">
        <v>0.8</v>
      </c>
      <c r="G993" s="359"/>
      <c r="H993" s="354">
        <v>2.1</v>
      </c>
      <c r="I993" s="355"/>
      <c r="J993" s="79">
        <f>-F993*H993</f>
        <v>-1.6800000000000002</v>
      </c>
    </row>
    <row r="994" spans="1:10" x14ac:dyDescent="0.3">
      <c r="A994" s="247"/>
      <c r="B994" s="73"/>
      <c r="C994" s="74"/>
      <c r="D994" s="75" t="s">
        <v>712</v>
      </c>
      <c r="E994" s="82"/>
      <c r="F994" s="358">
        <v>1.6</v>
      </c>
      <c r="G994" s="359"/>
      <c r="H994" s="354">
        <v>0.5</v>
      </c>
      <c r="I994" s="355"/>
      <c r="J994" s="79">
        <f>-F994*H994</f>
        <v>-0.8</v>
      </c>
    </row>
    <row r="995" spans="1:10" x14ac:dyDescent="0.3">
      <c r="A995" s="251"/>
      <c r="B995" s="90"/>
      <c r="C995" s="91"/>
      <c r="D995" s="86" t="s">
        <v>724</v>
      </c>
      <c r="E995" s="91"/>
      <c r="F995" s="358" t="s">
        <v>881</v>
      </c>
      <c r="G995" s="359"/>
      <c r="H995" s="354">
        <v>3</v>
      </c>
      <c r="I995" s="355"/>
      <c r="J995" s="79">
        <f>(1.83+1.75+1.83+1.75)*H995</f>
        <v>21.48</v>
      </c>
    </row>
    <row r="996" spans="1:10" x14ac:dyDescent="0.3">
      <c r="A996" s="251"/>
      <c r="B996" s="90"/>
      <c r="C996" s="91"/>
      <c r="D996" s="75" t="s">
        <v>711</v>
      </c>
      <c r="E996" s="91"/>
      <c r="F996" s="358">
        <v>0.8</v>
      </c>
      <c r="G996" s="359"/>
      <c r="H996" s="354">
        <v>2.1</v>
      </c>
      <c r="I996" s="355"/>
      <c r="J996" s="79">
        <f>-F996*H996</f>
        <v>-1.6800000000000002</v>
      </c>
    </row>
    <row r="997" spans="1:10" x14ac:dyDescent="0.3">
      <c r="A997" s="247"/>
      <c r="B997" s="73"/>
      <c r="C997" s="74"/>
      <c r="D997" s="75" t="s">
        <v>712</v>
      </c>
      <c r="E997" s="82"/>
      <c r="F997" s="358">
        <v>0.5</v>
      </c>
      <c r="G997" s="359"/>
      <c r="H997" s="354">
        <v>0.5</v>
      </c>
      <c r="I997" s="355"/>
      <c r="J997" s="79">
        <f>-F997*H997</f>
        <v>-0.25</v>
      </c>
    </row>
    <row r="998" spans="1:10" x14ac:dyDescent="0.3">
      <c r="A998" s="251"/>
      <c r="B998" s="90"/>
      <c r="C998" s="91"/>
      <c r="D998" s="86" t="s">
        <v>725</v>
      </c>
      <c r="E998" s="91"/>
      <c r="F998" s="358" t="s">
        <v>881</v>
      </c>
      <c r="G998" s="359"/>
      <c r="H998" s="354">
        <v>3</v>
      </c>
      <c r="I998" s="355"/>
      <c r="J998" s="79">
        <f>(1.83+1.68+1.83+1.68)*H998</f>
        <v>21.06</v>
      </c>
    </row>
    <row r="999" spans="1:10" x14ac:dyDescent="0.3">
      <c r="A999" s="247"/>
      <c r="B999" s="73"/>
      <c r="C999" s="74"/>
      <c r="D999" s="75" t="s">
        <v>711</v>
      </c>
      <c r="E999" s="82"/>
      <c r="F999" s="358">
        <v>0.8</v>
      </c>
      <c r="G999" s="359"/>
      <c r="H999" s="354">
        <v>2.1</v>
      </c>
      <c r="I999" s="355"/>
      <c r="J999" s="79">
        <f>-F999*H999</f>
        <v>-1.6800000000000002</v>
      </c>
    </row>
    <row r="1000" spans="1:10" x14ac:dyDescent="0.3">
      <c r="A1000" s="247"/>
      <c r="B1000" s="73"/>
      <c r="C1000" s="74"/>
      <c r="D1000" s="75" t="s">
        <v>712</v>
      </c>
      <c r="E1000" s="82"/>
      <c r="F1000" s="358">
        <v>0.5</v>
      </c>
      <c r="G1000" s="359"/>
      <c r="H1000" s="354">
        <v>0.5</v>
      </c>
      <c r="I1000" s="355"/>
      <c r="J1000" s="79">
        <f>-F1000*H1000</f>
        <v>-0.25</v>
      </c>
    </row>
    <row r="1001" spans="1:10" x14ac:dyDescent="0.3">
      <c r="A1001" s="251"/>
      <c r="B1001" s="90"/>
      <c r="C1001" s="91"/>
      <c r="D1001" s="86" t="s">
        <v>622</v>
      </c>
      <c r="E1001" s="91"/>
      <c r="F1001" s="358" t="s">
        <v>882</v>
      </c>
      <c r="G1001" s="359"/>
      <c r="H1001" s="354">
        <v>3</v>
      </c>
      <c r="I1001" s="355"/>
      <c r="J1001" s="79">
        <f>(2.36+1.35+2.36+1.35)*H1001</f>
        <v>22.259999999999998</v>
      </c>
    </row>
    <row r="1002" spans="1:10" x14ac:dyDescent="0.3">
      <c r="A1002" s="251"/>
      <c r="B1002" s="90"/>
      <c r="C1002" s="91"/>
      <c r="D1002" s="75" t="s">
        <v>711</v>
      </c>
      <c r="E1002" s="91"/>
      <c r="F1002" s="358">
        <v>0.8</v>
      </c>
      <c r="G1002" s="359"/>
      <c r="H1002" s="354">
        <v>2.1</v>
      </c>
      <c r="I1002" s="355"/>
      <c r="J1002" s="79">
        <f>-F1002*H1002</f>
        <v>-1.6800000000000002</v>
      </c>
    </row>
    <row r="1003" spans="1:10" x14ac:dyDescent="0.3">
      <c r="A1003" s="247"/>
      <c r="B1003" s="73"/>
      <c r="C1003" s="74"/>
      <c r="D1003" s="75" t="s">
        <v>712</v>
      </c>
      <c r="E1003" s="82"/>
      <c r="F1003" s="358">
        <v>0.5</v>
      </c>
      <c r="G1003" s="359"/>
      <c r="H1003" s="354">
        <v>0.5</v>
      </c>
      <c r="I1003" s="355"/>
      <c r="J1003" s="79">
        <f>-F1003*H1003</f>
        <v>-0.25</v>
      </c>
    </row>
    <row r="1004" spans="1:10" x14ac:dyDescent="0.3">
      <c r="A1004" s="247"/>
      <c r="B1004" s="73"/>
      <c r="C1004" s="74"/>
      <c r="D1004" s="86" t="s">
        <v>726</v>
      </c>
      <c r="E1004" s="82"/>
      <c r="F1004" s="358" t="s">
        <v>882</v>
      </c>
      <c r="G1004" s="359"/>
      <c r="H1004" s="354">
        <v>3</v>
      </c>
      <c r="I1004" s="355"/>
      <c r="J1004" s="79">
        <f>(2.36+1.35+2.36+1.35)*H1004</f>
        <v>22.259999999999998</v>
      </c>
    </row>
    <row r="1005" spans="1:10" x14ac:dyDescent="0.3">
      <c r="A1005" s="251"/>
      <c r="B1005" s="90"/>
      <c r="C1005" s="91"/>
      <c r="D1005" s="75" t="s">
        <v>711</v>
      </c>
      <c r="E1005" s="91"/>
      <c r="F1005" s="358">
        <v>0.8</v>
      </c>
      <c r="G1005" s="359"/>
      <c r="H1005" s="354">
        <v>2.1</v>
      </c>
      <c r="I1005" s="355"/>
      <c r="J1005" s="79">
        <f>-F1005*H1005</f>
        <v>-1.6800000000000002</v>
      </c>
    </row>
    <row r="1006" spans="1:10" x14ac:dyDescent="0.3">
      <c r="A1006" s="251"/>
      <c r="B1006" s="90"/>
      <c r="C1006" s="91"/>
      <c r="D1006" s="75" t="s">
        <v>712</v>
      </c>
      <c r="E1006" s="91"/>
      <c r="F1006" s="358">
        <v>0.5</v>
      </c>
      <c r="G1006" s="359"/>
      <c r="H1006" s="354">
        <v>0.5</v>
      </c>
      <c r="I1006" s="355"/>
      <c r="J1006" s="79">
        <f>-F1006*H1006</f>
        <v>-0.25</v>
      </c>
    </row>
    <row r="1007" spans="1:10" x14ac:dyDescent="0.3">
      <c r="A1007" s="247"/>
      <c r="B1007" s="73"/>
      <c r="C1007" s="74"/>
      <c r="D1007" s="86" t="s">
        <v>727</v>
      </c>
      <c r="E1007" s="82"/>
      <c r="F1007" s="358" t="s">
        <v>728</v>
      </c>
      <c r="G1007" s="359"/>
      <c r="H1007" s="354">
        <v>1.5</v>
      </c>
      <c r="I1007" s="355"/>
      <c r="J1007" s="79">
        <f>(3.5+2.95+3.5+2.95)*H1007</f>
        <v>19.349999999999998</v>
      </c>
    </row>
    <row r="1008" spans="1:10" x14ac:dyDescent="0.3">
      <c r="A1008" s="247"/>
      <c r="B1008" s="73"/>
      <c r="C1008" s="74"/>
      <c r="D1008" s="75" t="s">
        <v>711</v>
      </c>
      <c r="E1008" s="82"/>
      <c r="F1008" s="358">
        <v>0.8</v>
      </c>
      <c r="G1008" s="359"/>
      <c r="H1008" s="354">
        <v>1.5</v>
      </c>
      <c r="I1008" s="355"/>
      <c r="J1008" s="79">
        <f>-F1008*H1008</f>
        <v>-1.2000000000000002</v>
      </c>
    </row>
    <row r="1009" spans="1:10" x14ac:dyDescent="0.3">
      <c r="A1009" s="251"/>
      <c r="B1009" s="90"/>
      <c r="C1009" s="91"/>
      <c r="D1009" s="75" t="s">
        <v>712</v>
      </c>
      <c r="E1009" s="91"/>
      <c r="F1009" s="358">
        <v>1.6</v>
      </c>
      <c r="G1009" s="359"/>
      <c r="H1009" s="354">
        <v>0.5</v>
      </c>
      <c r="I1009" s="355"/>
      <c r="J1009" s="79">
        <f>-F1009*H1009</f>
        <v>-0.8</v>
      </c>
    </row>
    <row r="1010" spans="1:10" x14ac:dyDescent="0.3">
      <c r="A1010" s="251"/>
      <c r="B1010" s="90"/>
      <c r="C1010" s="91"/>
      <c r="D1010" s="86" t="s">
        <v>729</v>
      </c>
      <c r="E1010" s="91"/>
      <c r="F1010" s="358" t="s">
        <v>728</v>
      </c>
      <c r="G1010" s="359"/>
      <c r="H1010" s="354">
        <v>1.5</v>
      </c>
      <c r="I1010" s="355"/>
      <c r="J1010" s="79">
        <f>(3.5+2.95+3.5+2.95)*H1010</f>
        <v>19.349999999999998</v>
      </c>
    </row>
    <row r="1011" spans="1:10" x14ac:dyDescent="0.3">
      <c r="A1011" s="247"/>
      <c r="B1011" s="73"/>
      <c r="C1011" s="74"/>
      <c r="D1011" s="75" t="s">
        <v>711</v>
      </c>
      <c r="E1011" s="82"/>
      <c r="F1011" s="358">
        <v>0.8</v>
      </c>
      <c r="G1011" s="359"/>
      <c r="H1011" s="354">
        <v>1.5</v>
      </c>
      <c r="I1011" s="355"/>
      <c r="J1011" s="79">
        <f>-F1011*H1011</f>
        <v>-1.2000000000000002</v>
      </c>
    </row>
    <row r="1012" spans="1:10" x14ac:dyDescent="0.3">
      <c r="A1012" s="247"/>
      <c r="B1012" s="73"/>
      <c r="C1012" s="74"/>
      <c r="D1012" s="75" t="s">
        <v>712</v>
      </c>
      <c r="E1012" s="82"/>
      <c r="F1012" s="358">
        <v>1.6</v>
      </c>
      <c r="G1012" s="359"/>
      <c r="H1012" s="354">
        <v>0.5</v>
      </c>
      <c r="I1012" s="355"/>
      <c r="J1012" s="79">
        <f>-F1012*H1012</f>
        <v>-0.8</v>
      </c>
    </row>
    <row r="1013" spans="1:10" x14ac:dyDescent="0.3">
      <c r="A1013" s="251"/>
      <c r="B1013" s="90"/>
      <c r="C1013" s="91"/>
      <c r="D1013" s="86" t="s">
        <v>730</v>
      </c>
      <c r="E1013" s="91"/>
      <c r="F1013" s="358" t="s">
        <v>728</v>
      </c>
      <c r="G1013" s="359"/>
      <c r="H1013" s="354">
        <v>1.5</v>
      </c>
      <c r="I1013" s="355"/>
      <c r="J1013" s="79">
        <f>(3.5+2.95+3.5+2.95)*H1013</f>
        <v>19.349999999999998</v>
      </c>
    </row>
    <row r="1014" spans="1:10" x14ac:dyDescent="0.3">
      <c r="A1014" s="251"/>
      <c r="B1014" s="90"/>
      <c r="C1014" s="91"/>
      <c r="D1014" s="75" t="s">
        <v>711</v>
      </c>
      <c r="E1014" s="91"/>
      <c r="F1014" s="358">
        <v>0.8</v>
      </c>
      <c r="G1014" s="359"/>
      <c r="H1014" s="354">
        <v>1.5</v>
      </c>
      <c r="I1014" s="355"/>
      <c r="J1014" s="79">
        <f>-F1014*H1014</f>
        <v>-1.2000000000000002</v>
      </c>
    </row>
    <row r="1015" spans="1:10" x14ac:dyDescent="0.3">
      <c r="A1015" s="247"/>
      <c r="B1015" s="73"/>
      <c r="C1015" s="74"/>
      <c r="D1015" s="75" t="s">
        <v>712</v>
      </c>
      <c r="E1015" s="82"/>
      <c r="F1015" s="358">
        <v>1.6</v>
      </c>
      <c r="G1015" s="359"/>
      <c r="H1015" s="354">
        <v>0.5</v>
      </c>
      <c r="I1015" s="355"/>
      <c r="J1015" s="79">
        <f>-F1015*H1015</f>
        <v>-0.8</v>
      </c>
    </row>
    <row r="1016" spans="1:10" x14ac:dyDescent="0.3">
      <c r="A1016" s="247"/>
      <c r="B1016" s="73"/>
      <c r="C1016" s="74"/>
      <c r="D1016" s="86" t="s">
        <v>731</v>
      </c>
      <c r="E1016" s="82"/>
      <c r="F1016" s="358" t="s">
        <v>728</v>
      </c>
      <c r="G1016" s="359"/>
      <c r="H1016" s="354">
        <v>1.5</v>
      </c>
      <c r="I1016" s="355"/>
      <c r="J1016" s="79">
        <f>(3.5+2.95+3.5+2.95)*H1016</f>
        <v>19.349999999999998</v>
      </c>
    </row>
    <row r="1017" spans="1:10" x14ac:dyDescent="0.3">
      <c r="A1017" s="251"/>
      <c r="B1017" s="90"/>
      <c r="C1017" s="91"/>
      <c r="D1017" s="75" t="s">
        <v>711</v>
      </c>
      <c r="E1017" s="91"/>
      <c r="F1017" s="358">
        <v>0.8</v>
      </c>
      <c r="G1017" s="359"/>
      <c r="H1017" s="354">
        <v>1.5</v>
      </c>
      <c r="I1017" s="355"/>
      <c r="J1017" s="79">
        <f>-F1017*H1017</f>
        <v>-1.2000000000000002</v>
      </c>
    </row>
    <row r="1018" spans="1:10" x14ac:dyDescent="0.3">
      <c r="A1018" s="251"/>
      <c r="B1018" s="90"/>
      <c r="C1018" s="91"/>
      <c r="D1018" s="75" t="s">
        <v>712</v>
      </c>
      <c r="E1018" s="91"/>
      <c r="F1018" s="358">
        <v>1.6</v>
      </c>
      <c r="G1018" s="359"/>
      <c r="H1018" s="354">
        <v>0.5</v>
      </c>
      <c r="I1018" s="355"/>
      <c r="J1018" s="79">
        <f>-F1018*H1018</f>
        <v>-0.8</v>
      </c>
    </row>
    <row r="1019" spans="1:10" x14ac:dyDescent="0.3">
      <c r="A1019" s="247"/>
      <c r="B1019" s="73"/>
      <c r="C1019" s="74"/>
      <c r="D1019" s="86" t="s">
        <v>732</v>
      </c>
      <c r="E1019" s="82"/>
      <c r="F1019" s="358" t="s">
        <v>733</v>
      </c>
      <c r="G1019" s="359"/>
      <c r="H1019" s="354">
        <v>1.5</v>
      </c>
      <c r="I1019" s="355"/>
      <c r="J1019" s="79">
        <f>(2.95+3.5+2.95+3.5)*H1019</f>
        <v>19.350000000000001</v>
      </c>
    </row>
    <row r="1020" spans="1:10" x14ac:dyDescent="0.3">
      <c r="A1020" s="247"/>
      <c r="B1020" s="73"/>
      <c r="C1020" s="74"/>
      <c r="D1020" s="75" t="s">
        <v>711</v>
      </c>
      <c r="E1020" s="82"/>
      <c r="F1020" s="358">
        <v>0.8</v>
      </c>
      <c r="G1020" s="359"/>
      <c r="H1020" s="354">
        <v>1.5</v>
      </c>
      <c r="I1020" s="355"/>
      <c r="J1020" s="79">
        <f>-F1020*H1020</f>
        <v>-1.2000000000000002</v>
      </c>
    </row>
    <row r="1021" spans="1:10" x14ac:dyDescent="0.3">
      <c r="A1021" s="251"/>
      <c r="B1021" s="90"/>
      <c r="C1021" s="91"/>
      <c r="D1021" s="86" t="s">
        <v>734</v>
      </c>
      <c r="E1021" s="91"/>
      <c r="F1021" s="358" t="s">
        <v>735</v>
      </c>
      <c r="G1021" s="359"/>
      <c r="H1021" s="354">
        <v>3</v>
      </c>
      <c r="I1021" s="355"/>
      <c r="J1021" s="79">
        <f>(1.45+2.35+1.45+2.35)*H1021</f>
        <v>22.799999999999997</v>
      </c>
    </row>
    <row r="1022" spans="1:10" x14ac:dyDescent="0.3">
      <c r="A1022" s="247"/>
      <c r="B1022" s="73"/>
      <c r="C1022" s="74"/>
      <c r="D1022" s="75" t="s">
        <v>711</v>
      </c>
      <c r="E1022" s="82"/>
      <c r="F1022" s="358">
        <v>0.8</v>
      </c>
      <c r="G1022" s="359"/>
      <c r="H1022" s="354">
        <v>2.1</v>
      </c>
      <c r="I1022" s="355"/>
      <c r="J1022" s="79">
        <f>-F1022*H1022</f>
        <v>-1.6800000000000002</v>
      </c>
    </row>
    <row r="1023" spans="1:10" x14ac:dyDescent="0.3">
      <c r="A1023" s="247"/>
      <c r="B1023" s="73"/>
      <c r="C1023" s="74"/>
      <c r="D1023" s="75" t="s">
        <v>712</v>
      </c>
      <c r="E1023" s="82"/>
      <c r="F1023" s="358">
        <v>0.5</v>
      </c>
      <c r="G1023" s="359"/>
      <c r="H1023" s="354">
        <v>0.5</v>
      </c>
      <c r="I1023" s="355"/>
      <c r="J1023" s="79">
        <f>-F1023*H1023</f>
        <v>-0.25</v>
      </c>
    </row>
    <row r="1024" spans="1:10" x14ac:dyDescent="0.3">
      <c r="A1024" s="251"/>
      <c r="B1024" s="90"/>
      <c r="C1024" s="91"/>
      <c r="D1024" s="86" t="s">
        <v>626</v>
      </c>
      <c r="E1024" s="91"/>
      <c r="F1024" s="358" t="s">
        <v>736</v>
      </c>
      <c r="G1024" s="359"/>
      <c r="H1024" s="354">
        <v>3</v>
      </c>
      <c r="I1024" s="355"/>
      <c r="J1024" s="79">
        <f>(6.5+3.98+6.5+3.98)*H1024</f>
        <v>62.88</v>
      </c>
    </row>
    <row r="1025" spans="1:10" x14ac:dyDescent="0.3">
      <c r="A1025" s="251"/>
      <c r="B1025" s="90"/>
      <c r="C1025" s="91"/>
      <c r="D1025" s="75" t="s">
        <v>711</v>
      </c>
      <c r="E1025" s="91"/>
      <c r="F1025" s="358">
        <v>0.8</v>
      </c>
      <c r="G1025" s="359"/>
      <c r="H1025" s="354">
        <v>2.1</v>
      </c>
      <c r="I1025" s="355"/>
      <c r="J1025" s="79">
        <f>-F1025*H1025</f>
        <v>-1.6800000000000002</v>
      </c>
    </row>
    <row r="1026" spans="1:10" x14ac:dyDescent="0.3">
      <c r="A1026" s="251"/>
      <c r="B1026" s="90"/>
      <c r="C1026" s="91"/>
      <c r="D1026" s="75" t="s">
        <v>712</v>
      </c>
      <c r="E1026" s="91"/>
      <c r="F1026" s="358" t="s">
        <v>503</v>
      </c>
      <c r="G1026" s="359"/>
      <c r="H1026" s="354">
        <v>0.5</v>
      </c>
      <c r="I1026" s="355"/>
      <c r="J1026" s="79">
        <f>-2*1.6*H1026</f>
        <v>-1.6</v>
      </c>
    </row>
    <row r="1027" spans="1:10" x14ac:dyDescent="0.3">
      <c r="A1027" s="251"/>
      <c r="B1027" s="90"/>
      <c r="C1027" s="91"/>
      <c r="D1027" s="86" t="s">
        <v>627</v>
      </c>
      <c r="E1027" s="91"/>
      <c r="F1027" s="358" t="s">
        <v>883</v>
      </c>
      <c r="G1027" s="359"/>
      <c r="H1027" s="354">
        <v>3</v>
      </c>
      <c r="I1027" s="355"/>
      <c r="J1027" s="79">
        <f>(1.92+3.4+1.92+3.4)*H1027</f>
        <v>31.92</v>
      </c>
    </row>
    <row r="1028" spans="1:10" x14ac:dyDescent="0.3">
      <c r="A1028" s="251"/>
      <c r="B1028" s="90"/>
      <c r="C1028" s="91"/>
      <c r="D1028" s="75" t="s">
        <v>711</v>
      </c>
      <c r="E1028" s="91"/>
      <c r="F1028" s="358" t="s">
        <v>721</v>
      </c>
      <c r="G1028" s="359"/>
      <c r="H1028" s="354">
        <v>2.1</v>
      </c>
      <c r="I1028" s="355"/>
      <c r="J1028" s="79">
        <f>-2*0.8*H1028</f>
        <v>-3.3600000000000003</v>
      </c>
    </row>
    <row r="1029" spans="1:10" x14ac:dyDescent="0.3">
      <c r="A1029" s="251"/>
      <c r="B1029" s="90"/>
      <c r="C1029" s="91"/>
      <c r="D1029" s="75" t="s">
        <v>712</v>
      </c>
      <c r="E1029" s="91"/>
      <c r="F1029" s="358">
        <v>1.6</v>
      </c>
      <c r="G1029" s="359"/>
      <c r="H1029" s="354">
        <v>0.5</v>
      </c>
      <c r="I1029" s="355"/>
      <c r="J1029" s="79">
        <f>H1029*F1029</f>
        <v>0.8</v>
      </c>
    </row>
    <row r="1030" spans="1:10" x14ac:dyDescent="0.3">
      <c r="A1030" s="251"/>
      <c r="B1030" s="90"/>
      <c r="C1030" s="91"/>
      <c r="D1030" s="86" t="s">
        <v>737</v>
      </c>
      <c r="E1030" s="91"/>
      <c r="F1030" s="358" t="s">
        <v>883</v>
      </c>
      <c r="G1030" s="359"/>
      <c r="H1030" s="354">
        <v>3</v>
      </c>
      <c r="I1030" s="355"/>
      <c r="J1030" s="79">
        <f>(1.92+3.4+1.92+3.4)*H1030</f>
        <v>31.92</v>
      </c>
    </row>
    <row r="1031" spans="1:10" x14ac:dyDescent="0.3">
      <c r="A1031" s="251"/>
      <c r="B1031" s="90"/>
      <c r="C1031" s="91"/>
      <c r="D1031" s="75" t="s">
        <v>711</v>
      </c>
      <c r="E1031" s="91"/>
      <c r="F1031" s="358">
        <v>0.8</v>
      </c>
      <c r="G1031" s="359"/>
      <c r="H1031" s="354">
        <v>2.1</v>
      </c>
      <c r="I1031" s="355"/>
      <c r="J1031" s="79">
        <f>-F1031*H1031</f>
        <v>-1.6800000000000002</v>
      </c>
    </row>
    <row r="1032" spans="1:10" x14ac:dyDescent="0.3">
      <c r="A1032" s="251"/>
      <c r="B1032" s="90"/>
      <c r="C1032" s="91"/>
      <c r="D1032" s="75" t="s">
        <v>712</v>
      </c>
      <c r="E1032" s="91"/>
      <c r="F1032" s="358">
        <v>1.6</v>
      </c>
      <c r="G1032" s="359"/>
      <c r="H1032" s="354">
        <v>0.5</v>
      </c>
      <c r="I1032" s="355"/>
      <c r="J1032" s="79">
        <f>-F1032*H1032</f>
        <v>-0.8</v>
      </c>
    </row>
    <row r="1033" spans="1:10" x14ac:dyDescent="0.3">
      <c r="A1033" s="251"/>
      <c r="B1033" s="90"/>
      <c r="C1033" s="91"/>
      <c r="D1033" s="86" t="s">
        <v>628</v>
      </c>
      <c r="E1033" s="91"/>
      <c r="F1033" s="358" t="s">
        <v>738</v>
      </c>
      <c r="G1033" s="359"/>
      <c r="H1033" s="354">
        <v>3</v>
      </c>
      <c r="I1033" s="355"/>
      <c r="J1033" s="79">
        <f>(5.41+3.98+5.41+3.98)*H1033</f>
        <v>56.34</v>
      </c>
    </row>
    <row r="1034" spans="1:10" x14ac:dyDescent="0.3">
      <c r="A1034" s="251"/>
      <c r="B1034" s="90"/>
      <c r="C1034" s="91"/>
      <c r="D1034" s="75" t="s">
        <v>711</v>
      </c>
      <c r="E1034" s="91"/>
      <c r="F1034" s="358" t="s">
        <v>739</v>
      </c>
      <c r="G1034" s="359"/>
      <c r="H1034" s="354">
        <v>2.1</v>
      </c>
      <c r="I1034" s="355"/>
      <c r="J1034" s="79">
        <f>-4*0.8*H1034</f>
        <v>-6.7200000000000006</v>
      </c>
    </row>
    <row r="1035" spans="1:10" x14ac:dyDescent="0.3">
      <c r="A1035" s="251"/>
      <c r="B1035" s="90"/>
      <c r="C1035" s="91"/>
      <c r="D1035" s="75" t="s">
        <v>712</v>
      </c>
      <c r="E1035" s="91"/>
      <c r="F1035" s="358" t="s">
        <v>740</v>
      </c>
      <c r="G1035" s="359"/>
      <c r="H1035" s="354">
        <v>0.5</v>
      </c>
      <c r="I1035" s="355"/>
      <c r="J1035" s="79">
        <f>-2*1.6*H1035</f>
        <v>-1.6</v>
      </c>
    </row>
    <row r="1036" spans="1:10" x14ac:dyDescent="0.3">
      <c r="A1036" s="251"/>
      <c r="B1036" s="90"/>
      <c r="C1036" s="91"/>
      <c r="D1036" s="86" t="s">
        <v>741</v>
      </c>
      <c r="E1036" s="91"/>
      <c r="F1036" s="358" t="s">
        <v>884</v>
      </c>
      <c r="G1036" s="359"/>
      <c r="H1036" s="354">
        <v>3</v>
      </c>
      <c r="I1036" s="355"/>
      <c r="J1036" s="79">
        <f>(1.91+1.83+1.91+1.83)*H1036</f>
        <v>22.44</v>
      </c>
    </row>
    <row r="1037" spans="1:10" x14ac:dyDescent="0.3">
      <c r="A1037" s="251"/>
      <c r="B1037" s="90"/>
      <c r="C1037" s="91"/>
      <c r="D1037" s="75" t="s">
        <v>711</v>
      </c>
      <c r="E1037" s="91"/>
      <c r="F1037" s="358">
        <v>0.8</v>
      </c>
      <c r="G1037" s="359"/>
      <c r="H1037" s="354">
        <v>2.1</v>
      </c>
      <c r="I1037" s="355"/>
      <c r="J1037" s="79">
        <f>-F1037*H1037</f>
        <v>-1.6800000000000002</v>
      </c>
    </row>
    <row r="1038" spans="1:10" x14ac:dyDescent="0.3">
      <c r="A1038" s="251"/>
      <c r="B1038" s="90"/>
      <c r="C1038" s="91"/>
      <c r="D1038" s="75" t="s">
        <v>712</v>
      </c>
      <c r="E1038" s="91"/>
      <c r="F1038" s="358">
        <v>0.5</v>
      </c>
      <c r="G1038" s="359"/>
      <c r="H1038" s="354">
        <v>0.5</v>
      </c>
      <c r="I1038" s="355"/>
      <c r="J1038" s="79">
        <f>-F1038*H1038</f>
        <v>-0.25</v>
      </c>
    </row>
    <row r="1039" spans="1:10" x14ac:dyDescent="0.3">
      <c r="A1039" s="251"/>
      <c r="B1039" s="90"/>
      <c r="C1039" s="91"/>
      <c r="D1039" s="86" t="s">
        <v>742</v>
      </c>
      <c r="E1039" s="91"/>
      <c r="F1039" s="358" t="s">
        <v>884</v>
      </c>
      <c r="G1039" s="359"/>
      <c r="H1039" s="354">
        <v>3</v>
      </c>
      <c r="I1039" s="355"/>
      <c r="J1039" s="79">
        <f>(1.91+1.83+1.91+1.83)*H1039</f>
        <v>22.44</v>
      </c>
    </row>
    <row r="1040" spans="1:10" x14ac:dyDescent="0.3">
      <c r="A1040" s="251"/>
      <c r="B1040" s="90"/>
      <c r="C1040" s="91"/>
      <c r="D1040" s="75" t="s">
        <v>711</v>
      </c>
      <c r="E1040" s="91"/>
      <c r="F1040" s="358">
        <v>0.8</v>
      </c>
      <c r="G1040" s="359"/>
      <c r="H1040" s="354">
        <v>2.1</v>
      </c>
      <c r="I1040" s="355"/>
      <c r="J1040" s="79">
        <f>-F1040*H1040</f>
        <v>-1.6800000000000002</v>
      </c>
    </row>
    <row r="1041" spans="1:10" x14ac:dyDescent="0.3">
      <c r="A1041" s="251"/>
      <c r="B1041" s="90"/>
      <c r="C1041" s="91"/>
      <c r="D1041" s="75" t="s">
        <v>712</v>
      </c>
      <c r="E1041" s="91"/>
      <c r="F1041" s="358">
        <v>0.5</v>
      </c>
      <c r="G1041" s="359"/>
      <c r="H1041" s="354">
        <v>0.5</v>
      </c>
      <c r="I1041" s="355"/>
      <c r="J1041" s="79">
        <f>-F1041*H1041</f>
        <v>-0.25</v>
      </c>
    </row>
    <row r="1042" spans="1:10" x14ac:dyDescent="0.3">
      <c r="A1042" s="251"/>
      <c r="B1042" s="90"/>
      <c r="C1042" s="91"/>
      <c r="D1042" s="86" t="s">
        <v>743</v>
      </c>
      <c r="E1042" s="91"/>
      <c r="F1042" s="358" t="s">
        <v>884</v>
      </c>
      <c r="G1042" s="359"/>
      <c r="H1042" s="354">
        <v>3</v>
      </c>
      <c r="I1042" s="355"/>
      <c r="J1042" s="79">
        <f>(1.91+1.83+1.91+1.83)*H1042</f>
        <v>22.44</v>
      </c>
    </row>
    <row r="1043" spans="1:10" x14ac:dyDescent="0.3">
      <c r="A1043" s="251"/>
      <c r="B1043" s="90"/>
      <c r="C1043" s="91"/>
      <c r="D1043" s="75" t="s">
        <v>711</v>
      </c>
      <c r="E1043" s="91"/>
      <c r="F1043" s="358">
        <v>0.8</v>
      </c>
      <c r="G1043" s="359"/>
      <c r="H1043" s="354">
        <v>2.1</v>
      </c>
      <c r="I1043" s="355"/>
      <c r="J1043" s="79">
        <f>-F1043*H1043</f>
        <v>-1.6800000000000002</v>
      </c>
    </row>
    <row r="1044" spans="1:10" x14ac:dyDescent="0.3">
      <c r="A1044" s="251"/>
      <c r="B1044" s="90"/>
      <c r="C1044" s="91"/>
      <c r="D1044" s="75" t="s">
        <v>712</v>
      </c>
      <c r="E1044" s="91"/>
      <c r="F1044" s="358">
        <v>0.5</v>
      </c>
      <c r="G1044" s="359"/>
      <c r="H1044" s="354">
        <v>0.5</v>
      </c>
      <c r="I1044" s="355"/>
      <c r="J1044" s="79">
        <f>-F1044*H1044</f>
        <v>-0.25</v>
      </c>
    </row>
    <row r="1045" spans="1:10" x14ac:dyDescent="0.3">
      <c r="A1045" s="251"/>
      <c r="B1045" s="90"/>
      <c r="C1045" s="91"/>
      <c r="D1045" s="86" t="s">
        <v>748</v>
      </c>
      <c r="E1045" s="91"/>
      <c r="F1045" s="358" t="s">
        <v>749</v>
      </c>
      <c r="G1045" s="359"/>
      <c r="H1045" s="354">
        <v>1.5</v>
      </c>
      <c r="I1045" s="355"/>
      <c r="J1045" s="79">
        <f>(2.7+3.98+2.7+3.98)*H1045</f>
        <v>20.04</v>
      </c>
    </row>
    <row r="1046" spans="1:10" x14ac:dyDescent="0.3">
      <c r="A1046" s="251"/>
      <c r="B1046" s="90"/>
      <c r="C1046" s="91"/>
      <c r="D1046" s="75" t="s">
        <v>711</v>
      </c>
      <c r="E1046" s="91"/>
      <c r="F1046" s="358">
        <v>0.8</v>
      </c>
      <c r="G1046" s="359"/>
      <c r="H1046" s="354">
        <v>1.5</v>
      </c>
      <c r="I1046" s="355"/>
      <c r="J1046" s="79">
        <f>-F1046*H1046</f>
        <v>-1.2000000000000002</v>
      </c>
    </row>
    <row r="1047" spans="1:10" x14ac:dyDescent="0.3">
      <c r="A1047" s="251"/>
      <c r="B1047" s="90"/>
      <c r="C1047" s="91"/>
      <c r="D1047" s="86" t="s">
        <v>744</v>
      </c>
      <c r="E1047" s="91"/>
      <c r="F1047" s="358" t="s">
        <v>884</v>
      </c>
      <c r="G1047" s="359"/>
      <c r="H1047" s="354">
        <v>3</v>
      </c>
      <c r="I1047" s="355"/>
      <c r="J1047" s="79">
        <f>(1.91+1.83+1.91+1.83)*H1047</f>
        <v>22.44</v>
      </c>
    </row>
    <row r="1048" spans="1:10" x14ac:dyDescent="0.3">
      <c r="A1048" s="251"/>
      <c r="B1048" s="90"/>
      <c r="C1048" s="91"/>
      <c r="D1048" s="75" t="s">
        <v>711</v>
      </c>
      <c r="E1048" s="91"/>
      <c r="F1048" s="358">
        <v>0.8</v>
      </c>
      <c r="G1048" s="359"/>
      <c r="H1048" s="354">
        <v>2.1</v>
      </c>
      <c r="I1048" s="355"/>
      <c r="J1048" s="79">
        <f>-F1048*H1048</f>
        <v>-1.6800000000000002</v>
      </c>
    </row>
    <row r="1049" spans="1:10" x14ac:dyDescent="0.3">
      <c r="A1049" s="251"/>
      <c r="B1049" s="90"/>
      <c r="C1049" s="91"/>
      <c r="D1049" s="75" t="s">
        <v>712</v>
      </c>
      <c r="E1049" s="91"/>
      <c r="F1049" s="358">
        <v>0.5</v>
      </c>
      <c r="G1049" s="359"/>
      <c r="H1049" s="354">
        <v>0.5</v>
      </c>
      <c r="I1049" s="355"/>
      <c r="J1049" s="79">
        <f>-F1049*H1049</f>
        <v>-0.25</v>
      </c>
    </row>
    <row r="1050" spans="1:10" x14ac:dyDescent="0.3">
      <c r="A1050" s="251"/>
      <c r="B1050" s="90"/>
      <c r="C1050" s="91"/>
      <c r="D1050" s="86" t="s">
        <v>745</v>
      </c>
      <c r="E1050" s="91"/>
      <c r="F1050" s="358" t="s">
        <v>747</v>
      </c>
      <c r="G1050" s="359"/>
      <c r="H1050" s="354">
        <v>3</v>
      </c>
      <c r="I1050" s="355"/>
      <c r="J1050" s="79">
        <f>(5.93+2.94+5.93+2.94)*H1050</f>
        <v>53.22</v>
      </c>
    </row>
    <row r="1051" spans="1:10" x14ac:dyDescent="0.3">
      <c r="A1051" s="251"/>
      <c r="B1051" s="90"/>
      <c r="C1051" s="91"/>
      <c r="D1051" s="75" t="s">
        <v>711</v>
      </c>
      <c r="E1051" s="91"/>
      <c r="F1051" s="358" t="s">
        <v>721</v>
      </c>
      <c r="G1051" s="359"/>
      <c r="H1051" s="354">
        <v>2.1</v>
      </c>
      <c r="I1051" s="355"/>
      <c r="J1051" s="79">
        <f>-2*0.8*H1051</f>
        <v>-3.3600000000000003</v>
      </c>
    </row>
    <row r="1052" spans="1:10" x14ac:dyDescent="0.3">
      <c r="A1052" s="251"/>
      <c r="B1052" s="90"/>
      <c r="C1052" s="91"/>
      <c r="D1052" s="75" t="s">
        <v>712</v>
      </c>
      <c r="E1052" s="91"/>
      <c r="F1052" s="358">
        <v>1.6</v>
      </c>
      <c r="G1052" s="359"/>
      <c r="H1052" s="354">
        <v>0.5</v>
      </c>
      <c r="I1052" s="355"/>
      <c r="J1052" s="79">
        <f>-F1052*H1052</f>
        <v>-0.8</v>
      </c>
    </row>
    <row r="1053" spans="1:10" x14ac:dyDescent="0.3">
      <c r="A1053" s="251"/>
      <c r="B1053" s="90"/>
      <c r="C1053" s="91"/>
      <c r="D1053" s="86" t="s">
        <v>746</v>
      </c>
      <c r="E1053" s="91"/>
      <c r="F1053" s="358" t="s">
        <v>747</v>
      </c>
      <c r="G1053" s="359"/>
      <c r="H1053" s="354">
        <v>3</v>
      </c>
      <c r="I1053" s="355"/>
      <c r="J1053" s="79">
        <f>(5.93+2.94+5.93+2.94)*H1053</f>
        <v>53.22</v>
      </c>
    </row>
    <row r="1054" spans="1:10" x14ac:dyDescent="0.3">
      <c r="A1054" s="251"/>
      <c r="B1054" s="90"/>
      <c r="C1054" s="91"/>
      <c r="D1054" s="75" t="s">
        <v>711</v>
      </c>
      <c r="E1054" s="91"/>
      <c r="F1054" s="358" t="s">
        <v>721</v>
      </c>
      <c r="G1054" s="359"/>
      <c r="H1054" s="354">
        <v>2.1</v>
      </c>
      <c r="I1054" s="355"/>
      <c r="J1054" s="79">
        <f>-2*0.8*H1054</f>
        <v>-3.3600000000000003</v>
      </c>
    </row>
    <row r="1055" spans="1:10" x14ac:dyDescent="0.3">
      <c r="A1055" s="251"/>
      <c r="B1055" s="90"/>
      <c r="C1055" s="91"/>
      <c r="D1055" s="75" t="s">
        <v>712</v>
      </c>
      <c r="E1055" s="91"/>
      <c r="F1055" s="358">
        <v>1.6</v>
      </c>
      <c r="G1055" s="359"/>
      <c r="H1055" s="354">
        <v>0.5</v>
      </c>
      <c r="I1055" s="355"/>
      <c r="J1055" s="79">
        <f>-F1055*H1055</f>
        <v>-0.8</v>
      </c>
    </row>
    <row r="1056" spans="1:10" ht="15" thickBot="1" x14ac:dyDescent="0.35">
      <c r="A1056" s="364" t="s">
        <v>64</v>
      </c>
      <c r="B1056" s="365"/>
      <c r="C1056" s="365"/>
      <c r="D1056" s="365"/>
      <c r="E1056" s="365"/>
      <c r="F1056" s="365"/>
      <c r="G1056" s="365"/>
      <c r="H1056" s="365"/>
      <c r="I1056" s="366"/>
      <c r="J1056" s="275">
        <f>SUM(J968:J1055)</f>
        <v>856.32000000000039</v>
      </c>
    </row>
    <row r="1057" spans="1:10" ht="15" thickBot="1" x14ac:dyDescent="0.35">
      <c r="A1057" s="464" t="s">
        <v>52</v>
      </c>
      <c r="B1057" s="465"/>
      <c r="C1057" s="465"/>
      <c r="D1057" s="465"/>
      <c r="E1057" s="465"/>
      <c r="F1057" s="465"/>
      <c r="G1057" s="465"/>
      <c r="H1057" s="465"/>
      <c r="I1057" s="465"/>
      <c r="J1057" s="466"/>
    </row>
    <row r="1058" spans="1:10" x14ac:dyDescent="0.3">
      <c r="A1058" s="249">
        <v>18</v>
      </c>
      <c r="B1058" s="87" t="s">
        <v>10</v>
      </c>
      <c r="C1058" s="72">
        <v>210000</v>
      </c>
      <c r="D1058" s="264" t="s">
        <v>53</v>
      </c>
      <c r="E1058" s="115"/>
      <c r="F1058" s="233"/>
      <c r="G1058" s="233"/>
      <c r="H1058" s="115"/>
      <c r="I1058" s="115"/>
      <c r="J1058" s="116"/>
    </row>
    <row r="1059" spans="1:10" x14ac:dyDescent="0.3">
      <c r="A1059" s="247" t="str">
        <f>ORÇAMENTO!A432</f>
        <v>18.1</v>
      </c>
      <c r="B1059" s="73" t="str">
        <f>ORÇAMENTO!B432</f>
        <v>GOINFRA</v>
      </c>
      <c r="C1059" s="74">
        <f>ORÇAMENTO!C432</f>
        <v>210498</v>
      </c>
      <c r="D1059" s="75" t="str">
        <f>ORÇAMENTO!D432</f>
        <v xml:space="preserve">FORRO DE GESSO ACARTONADO PARA ÁREAS SECAS ESPESSURA DE 12,5MM </v>
      </c>
      <c r="E1059" s="74" t="str">
        <f>ORÇAMENTO!F432</f>
        <v xml:space="preserve">m2 </v>
      </c>
      <c r="F1059" s="354" t="s">
        <v>88</v>
      </c>
      <c r="G1059" s="369"/>
      <c r="H1059" s="369"/>
      <c r="I1059" s="355"/>
      <c r="J1059" s="79" t="s">
        <v>86</v>
      </c>
    </row>
    <row r="1060" spans="1:10" x14ac:dyDescent="0.3">
      <c r="A1060" s="247"/>
      <c r="B1060" s="73"/>
      <c r="C1060" s="74"/>
      <c r="D1060" s="75" t="s">
        <v>1543</v>
      </c>
      <c r="E1060" s="82"/>
      <c r="F1060" s="354">
        <v>95.83</v>
      </c>
      <c r="G1060" s="369"/>
      <c r="H1060" s="369"/>
      <c r="I1060" s="355"/>
      <c r="J1060" s="79">
        <f>83.05+39.2</f>
        <v>122.25</v>
      </c>
    </row>
    <row r="1061" spans="1:10" x14ac:dyDescent="0.3">
      <c r="A1061" s="247"/>
      <c r="B1061" s="73"/>
      <c r="C1061" s="74"/>
      <c r="D1061" s="75" t="s">
        <v>904</v>
      </c>
      <c r="E1061" s="82"/>
      <c r="F1061" s="360">
        <f>4.08+48.65+11.4+64.38</f>
        <v>128.51</v>
      </c>
      <c r="G1061" s="361"/>
      <c r="H1061" s="361"/>
      <c r="I1061" s="362"/>
      <c r="J1061" s="79">
        <f>F1061</f>
        <v>128.51</v>
      </c>
    </row>
    <row r="1062" spans="1:10" x14ac:dyDescent="0.3">
      <c r="A1062" s="247"/>
      <c r="B1062" s="73"/>
      <c r="C1062" s="74"/>
      <c r="D1062" s="75" t="s">
        <v>853</v>
      </c>
      <c r="E1062" s="82"/>
      <c r="F1062" s="360">
        <v>46.48</v>
      </c>
      <c r="G1062" s="361"/>
      <c r="H1062" s="361"/>
      <c r="I1062" s="362"/>
      <c r="J1062" s="79">
        <f>F1062</f>
        <v>46.48</v>
      </c>
    </row>
    <row r="1063" spans="1:10" x14ac:dyDescent="0.3">
      <c r="A1063" s="247"/>
      <c r="B1063" s="73"/>
      <c r="C1063" s="74"/>
      <c r="D1063" s="75" t="s">
        <v>1542</v>
      </c>
      <c r="E1063" s="82"/>
      <c r="F1063" s="354">
        <v>84.46</v>
      </c>
      <c r="G1063" s="369"/>
      <c r="H1063" s="369"/>
      <c r="I1063" s="355"/>
      <c r="J1063" s="76">
        <f>F1063</f>
        <v>84.46</v>
      </c>
    </row>
    <row r="1064" spans="1:10" ht="15" thickBot="1" x14ac:dyDescent="0.35">
      <c r="A1064" s="364" t="s">
        <v>64</v>
      </c>
      <c r="B1064" s="365"/>
      <c r="C1064" s="365"/>
      <c r="D1064" s="365"/>
      <c r="E1064" s="365"/>
      <c r="F1064" s="365"/>
      <c r="G1064" s="365"/>
      <c r="H1064" s="365"/>
      <c r="I1064" s="366"/>
      <c r="J1064" s="275">
        <f>SUM(J1060:J1063)</f>
        <v>381.7</v>
      </c>
    </row>
    <row r="1065" spans="1:10" x14ac:dyDescent="0.3">
      <c r="A1065" s="247" t="str">
        <f>ORÇAMENTO!A433</f>
        <v>18.2</v>
      </c>
      <c r="B1065" s="73" t="str">
        <f>ORÇAMENTO!B433</f>
        <v>GOINFRA</v>
      </c>
      <c r="C1065" s="74">
        <f>ORÇAMENTO!C433</f>
        <v>210515</v>
      </c>
      <c r="D1065" s="75" t="str">
        <f>ORÇAMENTO!D433</f>
        <v xml:space="preserve">GESSO CORRIDO EM TETO </v>
      </c>
      <c r="E1065" s="74" t="str">
        <f>ORÇAMENTO!F433</f>
        <v xml:space="preserve">m2 </v>
      </c>
      <c r="F1065" s="371" t="s">
        <v>104</v>
      </c>
      <c r="G1065" s="372"/>
      <c r="H1065" s="372"/>
      <c r="I1065" s="373"/>
      <c r="J1065" s="79" t="s">
        <v>86</v>
      </c>
    </row>
    <row r="1066" spans="1:10" x14ac:dyDescent="0.3">
      <c r="A1066" s="247"/>
      <c r="B1066" s="73"/>
      <c r="C1066" s="74"/>
      <c r="D1066" s="75" t="s">
        <v>516</v>
      </c>
      <c r="E1066" s="82"/>
      <c r="F1066" s="360">
        <v>39.159999999999997</v>
      </c>
      <c r="G1066" s="361"/>
      <c r="H1066" s="361"/>
      <c r="I1066" s="362"/>
      <c r="J1066" s="276">
        <f>F1066</f>
        <v>39.159999999999997</v>
      </c>
    </row>
    <row r="1067" spans="1:10" x14ac:dyDescent="0.3">
      <c r="A1067" s="247"/>
      <c r="B1067" s="73"/>
      <c r="C1067" s="74"/>
      <c r="D1067" s="75" t="s">
        <v>905</v>
      </c>
      <c r="E1067" s="82"/>
      <c r="F1067" s="360">
        <v>12.25</v>
      </c>
      <c r="G1067" s="361"/>
      <c r="H1067" s="361"/>
      <c r="I1067" s="362"/>
      <c r="J1067" s="276">
        <f t="shared" ref="J1067:J1126" si="11">F1067</f>
        <v>12.25</v>
      </c>
    </row>
    <row r="1068" spans="1:10" x14ac:dyDescent="0.3">
      <c r="A1068" s="247"/>
      <c r="B1068" s="73"/>
      <c r="C1068" s="74"/>
      <c r="D1068" s="75" t="s">
        <v>906</v>
      </c>
      <c r="E1068" s="82"/>
      <c r="F1068" s="360">
        <v>12.25</v>
      </c>
      <c r="G1068" s="361"/>
      <c r="H1068" s="361"/>
      <c r="I1068" s="362"/>
      <c r="J1068" s="276">
        <f t="shared" si="11"/>
        <v>12.25</v>
      </c>
    </row>
    <row r="1069" spans="1:10" x14ac:dyDescent="0.3">
      <c r="A1069" s="247"/>
      <c r="B1069" s="73"/>
      <c r="C1069" s="74"/>
      <c r="D1069" s="75" t="s">
        <v>907</v>
      </c>
      <c r="E1069" s="82"/>
      <c r="F1069" s="360">
        <v>12.25</v>
      </c>
      <c r="G1069" s="361"/>
      <c r="H1069" s="361"/>
      <c r="I1069" s="362"/>
      <c r="J1069" s="276">
        <f t="shared" si="11"/>
        <v>12.25</v>
      </c>
    </row>
    <row r="1070" spans="1:10" x14ac:dyDescent="0.3">
      <c r="A1070" s="247"/>
      <c r="B1070" s="73"/>
      <c r="C1070" s="74"/>
      <c r="D1070" s="75" t="s">
        <v>908</v>
      </c>
      <c r="E1070" s="82"/>
      <c r="F1070" s="360">
        <v>12.25</v>
      </c>
      <c r="G1070" s="361"/>
      <c r="H1070" s="361"/>
      <c r="I1070" s="362"/>
      <c r="J1070" s="276">
        <f t="shared" si="11"/>
        <v>12.25</v>
      </c>
    </row>
    <row r="1071" spans="1:10" x14ac:dyDescent="0.3">
      <c r="A1071" s="247"/>
      <c r="B1071" s="73"/>
      <c r="C1071" s="74"/>
      <c r="D1071" s="75" t="s">
        <v>909</v>
      </c>
      <c r="E1071" s="82"/>
      <c r="F1071" s="360">
        <v>12.25</v>
      </c>
      <c r="G1071" s="361"/>
      <c r="H1071" s="361"/>
      <c r="I1071" s="362"/>
      <c r="J1071" s="276">
        <f t="shared" si="11"/>
        <v>12.25</v>
      </c>
    </row>
    <row r="1072" spans="1:10" x14ac:dyDescent="0.3">
      <c r="A1072" s="251"/>
      <c r="B1072" s="90"/>
      <c r="C1072" s="91"/>
      <c r="D1072" s="75" t="s">
        <v>910</v>
      </c>
      <c r="E1072" s="91"/>
      <c r="F1072" s="360">
        <v>12.25</v>
      </c>
      <c r="G1072" s="361"/>
      <c r="H1072" s="361"/>
      <c r="I1072" s="362"/>
      <c r="J1072" s="276">
        <f t="shared" si="11"/>
        <v>12.25</v>
      </c>
    </row>
    <row r="1073" spans="1:10" x14ac:dyDescent="0.3">
      <c r="A1073" s="247"/>
      <c r="B1073" s="73"/>
      <c r="C1073" s="74"/>
      <c r="D1073" s="75" t="s">
        <v>911</v>
      </c>
      <c r="E1073" s="82"/>
      <c r="F1073" s="360">
        <v>12.25</v>
      </c>
      <c r="G1073" s="361"/>
      <c r="H1073" s="361"/>
      <c r="I1073" s="362"/>
      <c r="J1073" s="276">
        <f t="shared" si="11"/>
        <v>12.25</v>
      </c>
    </row>
    <row r="1074" spans="1:10" x14ac:dyDescent="0.3">
      <c r="A1074" s="247"/>
      <c r="B1074" s="73"/>
      <c r="C1074" s="74"/>
      <c r="D1074" s="75" t="s">
        <v>912</v>
      </c>
      <c r="E1074" s="82"/>
      <c r="F1074" s="360">
        <v>12.25</v>
      </c>
      <c r="G1074" s="361"/>
      <c r="H1074" s="361"/>
      <c r="I1074" s="362"/>
      <c r="J1074" s="276">
        <f t="shared" si="11"/>
        <v>12.25</v>
      </c>
    </row>
    <row r="1075" spans="1:10" x14ac:dyDescent="0.3">
      <c r="A1075" s="247"/>
      <c r="B1075" s="73"/>
      <c r="C1075" s="74"/>
      <c r="D1075" s="75" t="s">
        <v>913</v>
      </c>
      <c r="E1075" s="82"/>
      <c r="F1075" s="360">
        <v>12.25</v>
      </c>
      <c r="G1075" s="361"/>
      <c r="H1075" s="361"/>
      <c r="I1075" s="362"/>
      <c r="J1075" s="276">
        <f t="shared" si="11"/>
        <v>12.25</v>
      </c>
    </row>
    <row r="1076" spans="1:10" x14ac:dyDescent="0.3">
      <c r="A1076" s="247"/>
      <c r="B1076" s="73"/>
      <c r="C1076" s="74"/>
      <c r="D1076" s="75" t="s">
        <v>914</v>
      </c>
      <c r="E1076" s="82"/>
      <c r="F1076" s="360">
        <v>12.25</v>
      </c>
      <c r="G1076" s="361"/>
      <c r="H1076" s="361"/>
      <c r="I1076" s="362"/>
      <c r="J1076" s="276">
        <f t="shared" si="11"/>
        <v>12.25</v>
      </c>
    </row>
    <row r="1077" spans="1:10" x14ac:dyDescent="0.3">
      <c r="A1077" s="247"/>
      <c r="B1077" s="73"/>
      <c r="C1077" s="74"/>
      <c r="D1077" s="75" t="s">
        <v>915</v>
      </c>
      <c r="E1077" s="82"/>
      <c r="F1077" s="360">
        <v>12.25</v>
      </c>
      <c r="G1077" s="361"/>
      <c r="H1077" s="361"/>
      <c r="I1077" s="362"/>
      <c r="J1077" s="276">
        <f t="shared" si="11"/>
        <v>12.25</v>
      </c>
    </row>
    <row r="1078" spans="1:10" x14ac:dyDescent="0.3">
      <c r="A1078" s="251"/>
      <c r="B1078" s="90"/>
      <c r="C1078" s="91"/>
      <c r="D1078" s="75" t="s">
        <v>916</v>
      </c>
      <c r="E1078" s="91"/>
      <c r="F1078" s="360">
        <v>12.25</v>
      </c>
      <c r="G1078" s="361"/>
      <c r="H1078" s="361"/>
      <c r="I1078" s="362"/>
      <c r="J1078" s="276">
        <f t="shared" si="11"/>
        <v>12.25</v>
      </c>
    </row>
    <row r="1079" spans="1:10" x14ac:dyDescent="0.3">
      <c r="A1079" s="247"/>
      <c r="B1079" s="73"/>
      <c r="C1079" s="74"/>
      <c r="D1079" s="75" t="s">
        <v>917</v>
      </c>
      <c r="E1079" s="82"/>
      <c r="F1079" s="360">
        <v>12.25</v>
      </c>
      <c r="G1079" s="361"/>
      <c r="H1079" s="361"/>
      <c r="I1079" s="362"/>
      <c r="J1079" s="276">
        <f t="shared" si="11"/>
        <v>12.25</v>
      </c>
    </row>
    <row r="1080" spans="1:10" x14ac:dyDescent="0.3">
      <c r="A1080" s="247"/>
      <c r="B1080" s="73"/>
      <c r="C1080" s="74"/>
      <c r="D1080" s="75" t="s">
        <v>918</v>
      </c>
      <c r="E1080" s="82"/>
      <c r="F1080" s="360">
        <v>12.25</v>
      </c>
      <c r="G1080" s="361"/>
      <c r="H1080" s="361"/>
      <c r="I1080" s="362"/>
      <c r="J1080" s="276">
        <f t="shared" si="11"/>
        <v>12.25</v>
      </c>
    </row>
    <row r="1081" spans="1:10" x14ac:dyDescent="0.3">
      <c r="A1081" s="247"/>
      <c r="B1081" s="73"/>
      <c r="C1081" s="74"/>
      <c r="D1081" s="75" t="s">
        <v>919</v>
      </c>
      <c r="E1081" s="82"/>
      <c r="F1081" s="360">
        <v>12.25</v>
      </c>
      <c r="G1081" s="361"/>
      <c r="H1081" s="361"/>
      <c r="I1081" s="362"/>
      <c r="J1081" s="276">
        <f t="shared" si="11"/>
        <v>12.25</v>
      </c>
    </row>
    <row r="1082" spans="1:10" x14ac:dyDescent="0.3">
      <c r="A1082" s="247"/>
      <c r="B1082" s="73"/>
      <c r="C1082" s="74"/>
      <c r="D1082" s="75" t="s">
        <v>920</v>
      </c>
      <c r="E1082" s="82"/>
      <c r="F1082" s="360">
        <v>12.25</v>
      </c>
      <c r="G1082" s="361"/>
      <c r="H1082" s="361"/>
      <c r="I1082" s="362"/>
      <c r="J1082" s="276">
        <f t="shared" si="11"/>
        <v>12.25</v>
      </c>
    </row>
    <row r="1083" spans="1:10" x14ac:dyDescent="0.3">
      <c r="A1083" s="247"/>
      <c r="B1083" s="73"/>
      <c r="C1083" s="74"/>
      <c r="D1083" s="75" t="s">
        <v>861</v>
      </c>
      <c r="E1083" s="82"/>
      <c r="F1083" s="360">
        <v>5.32</v>
      </c>
      <c r="G1083" s="361"/>
      <c r="H1083" s="361"/>
      <c r="I1083" s="362"/>
      <c r="J1083" s="276">
        <f t="shared" si="11"/>
        <v>5.32</v>
      </c>
    </row>
    <row r="1084" spans="1:10" x14ac:dyDescent="0.3">
      <c r="A1084" s="251"/>
      <c r="B1084" s="90"/>
      <c r="C1084" s="91"/>
      <c r="D1084" s="86" t="s">
        <v>863</v>
      </c>
      <c r="E1084" s="91"/>
      <c r="F1084" s="360">
        <v>3.35</v>
      </c>
      <c r="G1084" s="361"/>
      <c r="H1084" s="361"/>
      <c r="I1084" s="362"/>
      <c r="J1084" s="276">
        <f t="shared" si="11"/>
        <v>3.35</v>
      </c>
    </row>
    <row r="1085" spans="1:10" x14ac:dyDescent="0.3">
      <c r="A1085" s="247"/>
      <c r="B1085" s="73"/>
      <c r="C1085" s="74"/>
      <c r="D1085" s="75" t="s">
        <v>774</v>
      </c>
      <c r="E1085" s="82"/>
      <c r="F1085" s="360">
        <v>5.32</v>
      </c>
      <c r="G1085" s="361"/>
      <c r="H1085" s="361"/>
      <c r="I1085" s="362"/>
      <c r="J1085" s="276">
        <f t="shared" si="11"/>
        <v>5.32</v>
      </c>
    </row>
    <row r="1086" spans="1:10" x14ac:dyDescent="0.3">
      <c r="A1086" s="247"/>
      <c r="B1086" s="73"/>
      <c r="C1086" s="74"/>
      <c r="D1086" s="75" t="s">
        <v>864</v>
      </c>
      <c r="E1086" s="82"/>
      <c r="F1086" s="360">
        <v>3.35</v>
      </c>
      <c r="G1086" s="361"/>
      <c r="H1086" s="361"/>
      <c r="I1086" s="362"/>
      <c r="J1086" s="276">
        <f t="shared" si="11"/>
        <v>3.35</v>
      </c>
    </row>
    <row r="1087" spans="1:10" x14ac:dyDescent="0.3">
      <c r="A1087" s="247"/>
      <c r="B1087" s="73"/>
      <c r="C1087" s="74"/>
      <c r="D1087" s="75" t="s">
        <v>922</v>
      </c>
      <c r="E1087" s="82"/>
      <c r="F1087" s="360">
        <v>3.63</v>
      </c>
      <c r="G1087" s="361"/>
      <c r="H1087" s="361"/>
      <c r="I1087" s="362"/>
      <c r="J1087" s="276">
        <f t="shared" si="11"/>
        <v>3.63</v>
      </c>
    </row>
    <row r="1088" spans="1:10" x14ac:dyDescent="0.3">
      <c r="A1088" s="247"/>
      <c r="B1088" s="73"/>
      <c r="C1088" s="74"/>
      <c r="D1088" s="75" t="s">
        <v>921</v>
      </c>
      <c r="E1088" s="82"/>
      <c r="F1088" s="360">
        <v>17.440000000000001</v>
      </c>
      <c r="G1088" s="361"/>
      <c r="H1088" s="361"/>
      <c r="I1088" s="362"/>
      <c r="J1088" s="276">
        <f t="shared" si="11"/>
        <v>17.440000000000001</v>
      </c>
    </row>
    <row r="1089" spans="1:10" x14ac:dyDescent="0.3">
      <c r="A1089" s="247"/>
      <c r="B1089" s="73"/>
      <c r="C1089" s="74"/>
      <c r="D1089" s="75" t="s">
        <v>923</v>
      </c>
      <c r="E1089" s="82"/>
      <c r="F1089" s="360">
        <v>5.74</v>
      </c>
      <c r="G1089" s="361"/>
      <c r="H1089" s="361"/>
      <c r="I1089" s="362"/>
      <c r="J1089" s="276">
        <f t="shared" si="11"/>
        <v>5.74</v>
      </c>
    </row>
    <row r="1090" spans="1:10" x14ac:dyDescent="0.3">
      <c r="A1090" s="251"/>
      <c r="B1090" s="90"/>
      <c r="C1090" s="91"/>
      <c r="D1090" s="86" t="s">
        <v>616</v>
      </c>
      <c r="E1090" s="91"/>
      <c r="F1090" s="360">
        <v>12.25</v>
      </c>
      <c r="G1090" s="361"/>
      <c r="H1090" s="361"/>
      <c r="I1090" s="362"/>
      <c r="J1090" s="276">
        <f t="shared" si="11"/>
        <v>12.25</v>
      </c>
    </row>
    <row r="1091" spans="1:10" x14ac:dyDescent="0.3">
      <c r="A1091" s="251"/>
      <c r="B1091" s="90"/>
      <c r="C1091" s="91"/>
      <c r="D1091" s="86" t="s">
        <v>811</v>
      </c>
      <c r="E1091" s="91"/>
      <c r="F1091" s="360">
        <v>48.09</v>
      </c>
      <c r="G1091" s="361"/>
      <c r="H1091" s="361"/>
      <c r="I1091" s="362"/>
      <c r="J1091" s="276">
        <f t="shared" si="11"/>
        <v>48.09</v>
      </c>
    </row>
    <row r="1092" spans="1:10" x14ac:dyDescent="0.3">
      <c r="A1092" s="251"/>
      <c r="B1092" s="90"/>
      <c r="C1092" s="91"/>
      <c r="D1092" s="86" t="s">
        <v>720</v>
      </c>
      <c r="E1092" s="91"/>
      <c r="F1092" s="360">
        <v>4.26</v>
      </c>
      <c r="G1092" s="361"/>
      <c r="H1092" s="361"/>
      <c r="I1092" s="362"/>
      <c r="J1092" s="276">
        <f t="shared" si="11"/>
        <v>4.26</v>
      </c>
    </row>
    <row r="1093" spans="1:10" x14ac:dyDescent="0.3">
      <c r="A1093" s="251"/>
      <c r="B1093" s="90"/>
      <c r="C1093" s="91"/>
      <c r="D1093" s="86" t="s">
        <v>780</v>
      </c>
      <c r="E1093" s="91"/>
      <c r="F1093" s="360">
        <v>11.73</v>
      </c>
      <c r="G1093" s="361"/>
      <c r="H1093" s="361"/>
      <c r="I1093" s="362"/>
      <c r="J1093" s="276">
        <f t="shared" si="11"/>
        <v>11.73</v>
      </c>
    </row>
    <row r="1094" spans="1:10" x14ac:dyDescent="0.3">
      <c r="A1094" s="251"/>
      <c r="B1094" s="90"/>
      <c r="C1094" s="91"/>
      <c r="D1094" s="86" t="s">
        <v>781</v>
      </c>
      <c r="E1094" s="91"/>
      <c r="F1094" s="360">
        <v>11.73</v>
      </c>
      <c r="G1094" s="361"/>
      <c r="H1094" s="361"/>
      <c r="I1094" s="362"/>
      <c r="J1094" s="276">
        <f t="shared" si="11"/>
        <v>11.73</v>
      </c>
    </row>
    <row r="1095" spans="1:10" x14ac:dyDescent="0.3">
      <c r="A1095" s="251"/>
      <c r="B1095" s="90"/>
      <c r="C1095" s="91"/>
      <c r="D1095" s="86" t="s">
        <v>723</v>
      </c>
      <c r="E1095" s="91"/>
      <c r="F1095" s="360">
        <v>11.2</v>
      </c>
      <c r="G1095" s="361"/>
      <c r="H1095" s="361"/>
      <c r="I1095" s="362"/>
      <c r="J1095" s="276">
        <f t="shared" si="11"/>
        <v>11.2</v>
      </c>
    </row>
    <row r="1096" spans="1:10" x14ac:dyDescent="0.3">
      <c r="A1096" s="251"/>
      <c r="B1096" s="90"/>
      <c r="C1096" s="91"/>
      <c r="D1096" s="86" t="s">
        <v>633</v>
      </c>
      <c r="E1096" s="91"/>
      <c r="F1096" s="360">
        <v>7.74</v>
      </c>
      <c r="G1096" s="361"/>
      <c r="H1096" s="361"/>
      <c r="I1096" s="362"/>
      <c r="J1096" s="276">
        <f t="shared" si="11"/>
        <v>7.74</v>
      </c>
    </row>
    <row r="1097" spans="1:10" x14ac:dyDescent="0.3">
      <c r="A1097" s="251"/>
      <c r="B1097" s="90"/>
      <c r="C1097" s="91"/>
      <c r="D1097" s="86" t="s">
        <v>727</v>
      </c>
      <c r="E1097" s="91"/>
      <c r="F1097" s="360">
        <v>10.33</v>
      </c>
      <c r="G1097" s="361"/>
      <c r="H1097" s="361"/>
      <c r="I1097" s="362"/>
      <c r="J1097" s="276">
        <f t="shared" si="11"/>
        <v>10.33</v>
      </c>
    </row>
    <row r="1098" spans="1:10" x14ac:dyDescent="0.3">
      <c r="A1098" s="251"/>
      <c r="B1098" s="90"/>
      <c r="C1098" s="91"/>
      <c r="D1098" s="86" t="s">
        <v>729</v>
      </c>
      <c r="E1098" s="91"/>
      <c r="F1098" s="360">
        <v>10.33</v>
      </c>
      <c r="G1098" s="361"/>
      <c r="H1098" s="361"/>
      <c r="I1098" s="362"/>
      <c r="J1098" s="276">
        <f t="shared" si="11"/>
        <v>10.33</v>
      </c>
    </row>
    <row r="1099" spans="1:10" x14ac:dyDescent="0.3">
      <c r="A1099" s="251"/>
      <c r="B1099" s="90"/>
      <c r="C1099" s="91"/>
      <c r="D1099" s="86" t="s">
        <v>730</v>
      </c>
      <c r="E1099" s="91"/>
      <c r="F1099" s="360">
        <v>10.33</v>
      </c>
      <c r="G1099" s="361"/>
      <c r="H1099" s="361"/>
      <c r="I1099" s="362"/>
      <c r="J1099" s="276">
        <f t="shared" si="11"/>
        <v>10.33</v>
      </c>
    </row>
    <row r="1100" spans="1:10" x14ac:dyDescent="0.3">
      <c r="A1100" s="251"/>
      <c r="B1100" s="90"/>
      <c r="C1100" s="91"/>
      <c r="D1100" s="86" t="s">
        <v>731</v>
      </c>
      <c r="E1100" s="91"/>
      <c r="F1100" s="360">
        <v>10.33</v>
      </c>
      <c r="G1100" s="361"/>
      <c r="H1100" s="361"/>
      <c r="I1100" s="362"/>
      <c r="J1100" s="276">
        <f t="shared" si="11"/>
        <v>10.33</v>
      </c>
    </row>
    <row r="1101" spans="1:10" x14ac:dyDescent="0.3">
      <c r="A1101" s="251"/>
      <c r="B1101" s="90"/>
      <c r="C1101" s="91"/>
      <c r="D1101" s="86" t="s">
        <v>924</v>
      </c>
      <c r="E1101" s="91"/>
      <c r="F1101" s="360">
        <v>33.39</v>
      </c>
      <c r="G1101" s="361"/>
      <c r="H1101" s="361"/>
      <c r="I1101" s="362"/>
      <c r="J1101" s="276">
        <f t="shared" si="11"/>
        <v>33.39</v>
      </c>
    </row>
    <row r="1102" spans="1:10" x14ac:dyDescent="0.3">
      <c r="A1102" s="251"/>
      <c r="B1102" s="90"/>
      <c r="C1102" s="91"/>
      <c r="D1102" s="86" t="s">
        <v>724</v>
      </c>
      <c r="E1102" s="91"/>
      <c r="F1102" s="360">
        <v>3.07</v>
      </c>
      <c r="G1102" s="361"/>
      <c r="H1102" s="361"/>
      <c r="I1102" s="362"/>
      <c r="J1102" s="276">
        <f t="shared" si="11"/>
        <v>3.07</v>
      </c>
    </row>
    <row r="1103" spans="1:10" x14ac:dyDescent="0.3">
      <c r="A1103" s="251"/>
      <c r="B1103" s="90"/>
      <c r="C1103" s="91"/>
      <c r="D1103" s="86" t="s">
        <v>725</v>
      </c>
      <c r="E1103" s="91"/>
      <c r="F1103" s="360">
        <v>3.07</v>
      </c>
      <c r="G1103" s="361"/>
      <c r="H1103" s="361"/>
      <c r="I1103" s="362"/>
      <c r="J1103" s="276">
        <f t="shared" si="11"/>
        <v>3.07</v>
      </c>
    </row>
    <row r="1104" spans="1:10" x14ac:dyDescent="0.3">
      <c r="A1104" s="251"/>
      <c r="B1104" s="90"/>
      <c r="C1104" s="91"/>
      <c r="D1104" s="86" t="s">
        <v>841</v>
      </c>
      <c r="E1104" s="91"/>
      <c r="F1104" s="360">
        <v>10.33</v>
      </c>
      <c r="G1104" s="361"/>
      <c r="H1104" s="361"/>
      <c r="I1104" s="362"/>
      <c r="J1104" s="276">
        <f t="shared" si="11"/>
        <v>10.33</v>
      </c>
    </row>
    <row r="1105" spans="1:10" x14ac:dyDescent="0.3">
      <c r="A1105" s="251"/>
      <c r="B1105" s="90"/>
      <c r="C1105" s="91"/>
      <c r="D1105" s="86" t="s">
        <v>787</v>
      </c>
      <c r="E1105" s="91"/>
      <c r="F1105" s="360">
        <v>3.08</v>
      </c>
      <c r="G1105" s="361"/>
      <c r="H1105" s="361"/>
      <c r="I1105" s="362"/>
      <c r="J1105" s="276">
        <f t="shared" si="11"/>
        <v>3.08</v>
      </c>
    </row>
    <row r="1106" spans="1:10" x14ac:dyDescent="0.3">
      <c r="A1106" s="251"/>
      <c r="B1106" s="90"/>
      <c r="C1106" s="91"/>
      <c r="D1106" s="86" t="s">
        <v>789</v>
      </c>
      <c r="E1106" s="91"/>
      <c r="F1106" s="360">
        <v>3.08</v>
      </c>
      <c r="G1106" s="361"/>
      <c r="H1106" s="361"/>
      <c r="I1106" s="362"/>
      <c r="J1106" s="276">
        <f t="shared" si="11"/>
        <v>3.08</v>
      </c>
    </row>
    <row r="1107" spans="1:10" x14ac:dyDescent="0.3">
      <c r="A1107" s="251"/>
      <c r="B1107" s="90"/>
      <c r="C1107" s="91"/>
      <c r="D1107" s="86" t="s">
        <v>732</v>
      </c>
      <c r="E1107" s="91"/>
      <c r="F1107" s="360">
        <v>10.15</v>
      </c>
      <c r="G1107" s="361"/>
      <c r="H1107" s="361"/>
      <c r="I1107" s="362"/>
      <c r="J1107" s="276">
        <f t="shared" si="11"/>
        <v>10.15</v>
      </c>
    </row>
    <row r="1108" spans="1:10" x14ac:dyDescent="0.3">
      <c r="A1108" s="251"/>
      <c r="B1108" s="90"/>
      <c r="C1108" s="91"/>
      <c r="D1108" s="75" t="s">
        <v>925</v>
      </c>
      <c r="E1108" s="91"/>
      <c r="F1108" s="360">
        <v>3.41</v>
      </c>
      <c r="G1108" s="361"/>
      <c r="H1108" s="361"/>
      <c r="I1108" s="362"/>
      <c r="J1108" s="276">
        <f t="shared" si="11"/>
        <v>3.41</v>
      </c>
    </row>
    <row r="1109" spans="1:10" x14ac:dyDescent="0.3">
      <c r="A1109" s="251"/>
      <c r="B1109" s="90"/>
      <c r="C1109" s="91"/>
      <c r="D1109" s="75" t="s">
        <v>926</v>
      </c>
      <c r="E1109" s="91"/>
      <c r="F1109" s="360">
        <v>11.55</v>
      </c>
      <c r="G1109" s="361"/>
      <c r="H1109" s="361"/>
      <c r="I1109" s="362"/>
      <c r="J1109" s="276">
        <f t="shared" si="11"/>
        <v>11.55</v>
      </c>
    </row>
    <row r="1110" spans="1:10" x14ac:dyDescent="0.3">
      <c r="A1110" s="251"/>
      <c r="B1110" s="90"/>
      <c r="C1110" s="91"/>
      <c r="D1110" s="86" t="s">
        <v>927</v>
      </c>
      <c r="E1110" s="91"/>
      <c r="F1110" s="360">
        <v>11.55</v>
      </c>
      <c r="G1110" s="361"/>
      <c r="H1110" s="361"/>
      <c r="I1110" s="362"/>
      <c r="J1110" s="276">
        <f t="shared" si="11"/>
        <v>11.55</v>
      </c>
    </row>
    <row r="1111" spans="1:10" x14ac:dyDescent="0.3">
      <c r="A1111" s="251"/>
      <c r="B1111" s="90"/>
      <c r="C1111" s="91"/>
      <c r="D1111" s="86" t="s">
        <v>928</v>
      </c>
      <c r="E1111" s="91"/>
      <c r="F1111" s="360">
        <v>11.55</v>
      </c>
      <c r="G1111" s="361"/>
      <c r="H1111" s="361"/>
      <c r="I1111" s="362"/>
      <c r="J1111" s="276">
        <f t="shared" si="11"/>
        <v>11.55</v>
      </c>
    </row>
    <row r="1112" spans="1:10" x14ac:dyDescent="0.3">
      <c r="A1112" s="251"/>
      <c r="B1112" s="90"/>
      <c r="C1112" s="91"/>
      <c r="D1112" s="86" t="s">
        <v>929</v>
      </c>
      <c r="E1112" s="91"/>
      <c r="F1112" s="360">
        <v>11.55</v>
      </c>
      <c r="G1112" s="361"/>
      <c r="H1112" s="361"/>
      <c r="I1112" s="362"/>
      <c r="J1112" s="276">
        <f t="shared" si="11"/>
        <v>11.55</v>
      </c>
    </row>
    <row r="1113" spans="1:10" x14ac:dyDescent="0.3">
      <c r="A1113" s="251"/>
      <c r="B1113" s="90"/>
      <c r="C1113" s="91"/>
      <c r="D1113" s="86" t="s">
        <v>930</v>
      </c>
      <c r="E1113" s="91"/>
      <c r="F1113" s="360">
        <v>11.55</v>
      </c>
      <c r="G1113" s="361"/>
      <c r="H1113" s="361"/>
      <c r="I1113" s="362"/>
      <c r="J1113" s="276">
        <f t="shared" si="11"/>
        <v>11.55</v>
      </c>
    </row>
    <row r="1114" spans="1:10" x14ac:dyDescent="0.3">
      <c r="A1114" s="251"/>
      <c r="B1114" s="90"/>
      <c r="C1114" s="91"/>
      <c r="D1114" s="86" t="s">
        <v>931</v>
      </c>
      <c r="E1114" s="91"/>
      <c r="F1114" s="360">
        <v>11.55</v>
      </c>
      <c r="G1114" s="361"/>
      <c r="H1114" s="361"/>
      <c r="I1114" s="362"/>
      <c r="J1114" s="276">
        <f t="shared" si="11"/>
        <v>11.55</v>
      </c>
    </row>
    <row r="1115" spans="1:10" x14ac:dyDescent="0.3">
      <c r="A1115" s="251"/>
      <c r="B1115" s="90"/>
      <c r="C1115" s="91"/>
      <c r="D1115" s="86" t="s">
        <v>932</v>
      </c>
      <c r="E1115" s="91"/>
      <c r="F1115" s="360">
        <v>11.55</v>
      </c>
      <c r="G1115" s="361"/>
      <c r="H1115" s="361"/>
      <c r="I1115" s="362"/>
      <c r="J1115" s="276">
        <f t="shared" si="11"/>
        <v>11.55</v>
      </c>
    </row>
    <row r="1116" spans="1:10" x14ac:dyDescent="0.3">
      <c r="A1116" s="251"/>
      <c r="B1116" s="90"/>
      <c r="C1116" s="91"/>
      <c r="D1116" s="86" t="s">
        <v>933</v>
      </c>
      <c r="E1116" s="91"/>
      <c r="F1116" s="360">
        <v>11.55</v>
      </c>
      <c r="G1116" s="361"/>
      <c r="H1116" s="361"/>
      <c r="I1116" s="362"/>
      <c r="J1116" s="276">
        <f t="shared" si="11"/>
        <v>11.55</v>
      </c>
    </row>
    <row r="1117" spans="1:10" x14ac:dyDescent="0.3">
      <c r="A1117" s="251"/>
      <c r="B1117" s="90"/>
      <c r="C1117" s="91"/>
      <c r="D1117" s="86" t="s">
        <v>626</v>
      </c>
      <c r="E1117" s="91"/>
      <c r="F1117" s="360">
        <v>25.87</v>
      </c>
      <c r="G1117" s="361"/>
      <c r="H1117" s="361"/>
      <c r="I1117" s="362"/>
      <c r="J1117" s="276">
        <f t="shared" si="11"/>
        <v>25.87</v>
      </c>
    </row>
    <row r="1118" spans="1:10" x14ac:dyDescent="0.3">
      <c r="A1118" s="251"/>
      <c r="B1118" s="90"/>
      <c r="C1118" s="91"/>
      <c r="D1118" s="86" t="s">
        <v>627</v>
      </c>
      <c r="E1118" s="91"/>
      <c r="F1118" s="360">
        <v>6.7</v>
      </c>
      <c r="G1118" s="361"/>
      <c r="H1118" s="361"/>
      <c r="I1118" s="362"/>
      <c r="J1118" s="276">
        <f t="shared" si="11"/>
        <v>6.7</v>
      </c>
    </row>
    <row r="1119" spans="1:10" x14ac:dyDescent="0.3">
      <c r="A1119" s="251"/>
      <c r="B1119" s="90"/>
      <c r="C1119" s="91"/>
      <c r="D1119" s="86" t="s">
        <v>737</v>
      </c>
      <c r="E1119" s="91"/>
      <c r="F1119" s="360">
        <v>6.7</v>
      </c>
      <c r="G1119" s="361"/>
      <c r="H1119" s="361"/>
      <c r="I1119" s="362"/>
      <c r="J1119" s="276">
        <f t="shared" si="11"/>
        <v>6.7</v>
      </c>
    </row>
    <row r="1120" spans="1:10" x14ac:dyDescent="0.3">
      <c r="A1120" s="251"/>
      <c r="B1120" s="90"/>
      <c r="C1120" s="91"/>
      <c r="D1120" s="86" t="s">
        <v>628</v>
      </c>
      <c r="E1120" s="91"/>
      <c r="F1120" s="360">
        <v>21.53</v>
      </c>
      <c r="G1120" s="361"/>
      <c r="H1120" s="361"/>
      <c r="I1120" s="362"/>
      <c r="J1120" s="276">
        <f t="shared" si="11"/>
        <v>21.53</v>
      </c>
    </row>
    <row r="1121" spans="1:10" x14ac:dyDescent="0.3">
      <c r="A1121" s="251"/>
      <c r="B1121" s="90"/>
      <c r="C1121" s="91"/>
      <c r="D1121" s="86" t="s">
        <v>934</v>
      </c>
      <c r="E1121" s="91"/>
      <c r="F1121" s="360">
        <v>6.69</v>
      </c>
      <c r="G1121" s="361"/>
      <c r="H1121" s="361"/>
      <c r="I1121" s="362"/>
      <c r="J1121" s="276">
        <f t="shared" si="11"/>
        <v>6.69</v>
      </c>
    </row>
    <row r="1122" spans="1:10" x14ac:dyDescent="0.3">
      <c r="A1122" s="251"/>
      <c r="B1122" s="90"/>
      <c r="C1122" s="91"/>
      <c r="D1122" s="86" t="s">
        <v>741</v>
      </c>
      <c r="E1122" s="91"/>
      <c r="F1122" s="360">
        <v>3.5</v>
      </c>
      <c r="G1122" s="361"/>
      <c r="H1122" s="361"/>
      <c r="I1122" s="362"/>
      <c r="J1122" s="276">
        <f t="shared" si="11"/>
        <v>3.5</v>
      </c>
    </row>
    <row r="1123" spans="1:10" x14ac:dyDescent="0.3">
      <c r="A1123" s="251"/>
      <c r="B1123" s="90"/>
      <c r="C1123" s="91"/>
      <c r="D1123" s="86" t="s">
        <v>935</v>
      </c>
      <c r="E1123" s="91"/>
      <c r="F1123" s="360">
        <v>3.5</v>
      </c>
      <c r="G1123" s="361"/>
      <c r="H1123" s="361"/>
      <c r="I1123" s="362"/>
      <c r="J1123" s="276">
        <f t="shared" si="11"/>
        <v>3.5</v>
      </c>
    </row>
    <row r="1124" spans="1:10" x14ac:dyDescent="0.3">
      <c r="A1124" s="251"/>
      <c r="B1124" s="90"/>
      <c r="C1124" s="91"/>
      <c r="D1124" s="86" t="s">
        <v>936</v>
      </c>
      <c r="E1124" s="91"/>
      <c r="F1124" s="360">
        <v>3.5</v>
      </c>
      <c r="G1124" s="361"/>
      <c r="H1124" s="361"/>
      <c r="I1124" s="362"/>
      <c r="J1124" s="276">
        <f t="shared" si="11"/>
        <v>3.5</v>
      </c>
    </row>
    <row r="1125" spans="1:10" x14ac:dyDescent="0.3">
      <c r="A1125" s="251"/>
      <c r="B1125" s="90"/>
      <c r="C1125" s="91"/>
      <c r="D1125" s="86" t="s">
        <v>937</v>
      </c>
      <c r="E1125" s="91"/>
      <c r="F1125" s="360">
        <v>3.5</v>
      </c>
      <c r="G1125" s="361"/>
      <c r="H1125" s="361"/>
      <c r="I1125" s="362"/>
      <c r="J1125" s="276">
        <f t="shared" si="11"/>
        <v>3.5</v>
      </c>
    </row>
    <row r="1126" spans="1:10" x14ac:dyDescent="0.3">
      <c r="A1126" s="251"/>
      <c r="B1126" s="90"/>
      <c r="C1126" s="91"/>
      <c r="D1126" s="86" t="s">
        <v>748</v>
      </c>
      <c r="E1126" s="91"/>
      <c r="F1126" s="360">
        <v>10.75</v>
      </c>
      <c r="G1126" s="361"/>
      <c r="H1126" s="361"/>
      <c r="I1126" s="362"/>
      <c r="J1126" s="276">
        <f t="shared" si="11"/>
        <v>10.75</v>
      </c>
    </row>
    <row r="1127" spans="1:10" x14ac:dyDescent="0.3">
      <c r="A1127" s="251"/>
      <c r="B1127" s="90"/>
      <c r="C1127" s="91"/>
      <c r="D1127" s="86" t="s">
        <v>1545</v>
      </c>
      <c r="E1127" s="91"/>
      <c r="F1127" s="360">
        <v>13.55</v>
      </c>
      <c r="G1127" s="361"/>
      <c r="H1127" s="361"/>
      <c r="I1127" s="362"/>
      <c r="J1127" s="276">
        <f t="shared" ref="J1127:J1129" si="12">F1127</f>
        <v>13.55</v>
      </c>
    </row>
    <row r="1128" spans="1:10" x14ac:dyDescent="0.3">
      <c r="A1128" s="251"/>
      <c r="B1128" s="90"/>
      <c r="C1128" s="91"/>
      <c r="D1128" s="86" t="s">
        <v>745</v>
      </c>
      <c r="E1128" s="91"/>
      <c r="F1128" s="360">
        <v>17.57</v>
      </c>
      <c r="G1128" s="361"/>
      <c r="H1128" s="361"/>
      <c r="I1128" s="362"/>
      <c r="J1128" s="276">
        <f t="shared" si="12"/>
        <v>17.57</v>
      </c>
    </row>
    <row r="1129" spans="1:10" x14ac:dyDescent="0.3">
      <c r="A1129" s="251"/>
      <c r="B1129" s="90"/>
      <c r="C1129" s="91"/>
      <c r="D1129" s="86" t="s">
        <v>1544</v>
      </c>
      <c r="E1129" s="91"/>
      <c r="F1129" s="360">
        <v>17.57</v>
      </c>
      <c r="G1129" s="361"/>
      <c r="H1129" s="361"/>
      <c r="I1129" s="362"/>
      <c r="J1129" s="276">
        <f t="shared" si="12"/>
        <v>17.57</v>
      </c>
    </row>
    <row r="1130" spans="1:10" ht="15" thickBot="1" x14ac:dyDescent="0.35">
      <c r="A1130" s="364" t="s">
        <v>64</v>
      </c>
      <c r="B1130" s="365"/>
      <c r="C1130" s="365"/>
      <c r="D1130" s="365"/>
      <c r="E1130" s="365"/>
      <c r="F1130" s="365"/>
      <c r="G1130" s="365"/>
      <c r="H1130" s="365"/>
      <c r="I1130" s="366"/>
      <c r="J1130" s="275">
        <f>SUM(J1066:J1129)</f>
        <v>730.53999999999974</v>
      </c>
    </row>
    <row r="1131" spans="1:10" ht="15" thickBot="1" x14ac:dyDescent="0.35">
      <c r="A1131" s="415" t="s">
        <v>54</v>
      </c>
      <c r="B1131" s="416"/>
      <c r="C1131" s="416"/>
      <c r="D1131" s="416"/>
      <c r="E1131" s="416"/>
      <c r="F1131" s="416"/>
      <c r="G1131" s="416"/>
      <c r="H1131" s="416"/>
      <c r="I1131" s="416"/>
      <c r="J1131" s="417"/>
    </row>
    <row r="1132" spans="1:10" x14ac:dyDescent="0.3">
      <c r="A1132" s="249">
        <v>19</v>
      </c>
      <c r="B1132" s="87" t="s">
        <v>10</v>
      </c>
      <c r="C1132" s="81">
        <v>220000</v>
      </c>
      <c r="D1132" s="262" t="s">
        <v>55</v>
      </c>
      <c r="E1132" s="95"/>
      <c r="F1132" s="231"/>
      <c r="G1132" s="231"/>
      <c r="H1132" s="95"/>
      <c r="I1132" s="95"/>
      <c r="J1132" s="96"/>
    </row>
    <row r="1133" spans="1:10" x14ac:dyDescent="0.3">
      <c r="A1133" s="247" t="str">
        <f>ORÇAMENTO!A437</f>
        <v>19.1</v>
      </c>
      <c r="B1133" s="73" t="str">
        <f>ORÇAMENTO!B437</f>
        <v>GOINFRA</v>
      </c>
      <c r="C1133" s="74">
        <f>ORÇAMENTO!C437</f>
        <v>220050</v>
      </c>
      <c r="D1133" s="75" t="str">
        <f>ORÇAMENTO!D437</f>
        <v xml:space="preserve">LASTRO DE CONCRETO REGULARIZADO SEM IMPERMEAB. 1:3:6 ESP= 5CM (BASE) </v>
      </c>
      <c r="E1133" s="74" t="str">
        <f>ORÇAMENTO!F437</f>
        <v xml:space="preserve">m2 </v>
      </c>
      <c r="F1133" s="358" t="s">
        <v>115</v>
      </c>
      <c r="G1133" s="359"/>
      <c r="H1133" s="354" t="s">
        <v>117</v>
      </c>
      <c r="I1133" s="355"/>
      <c r="J1133" s="79" t="s">
        <v>86</v>
      </c>
    </row>
    <row r="1134" spans="1:10" x14ac:dyDescent="0.3">
      <c r="A1134" s="258"/>
      <c r="B1134" s="73"/>
      <c r="C1134" s="74"/>
      <c r="D1134" s="75" t="s">
        <v>1053</v>
      </c>
      <c r="E1134" s="82"/>
      <c r="F1134" s="358">
        <v>26.95</v>
      </c>
      <c r="G1134" s="359"/>
      <c r="H1134" s="354">
        <v>16.100000000000001</v>
      </c>
      <c r="I1134" s="355"/>
      <c r="J1134" s="76">
        <f>H1134*F1134</f>
        <v>433.89500000000004</v>
      </c>
    </row>
    <row r="1135" spans="1:10" ht="15" thickBot="1" x14ac:dyDescent="0.35">
      <c r="A1135" s="364" t="s">
        <v>64</v>
      </c>
      <c r="B1135" s="365"/>
      <c r="C1135" s="365"/>
      <c r="D1135" s="365"/>
      <c r="E1135" s="365"/>
      <c r="F1135" s="365"/>
      <c r="G1135" s="365"/>
      <c r="H1135" s="365"/>
      <c r="I1135" s="366"/>
      <c r="J1135" s="275">
        <f>J1134</f>
        <v>433.89500000000004</v>
      </c>
    </row>
    <row r="1136" spans="1:10" x14ac:dyDescent="0.3">
      <c r="A1136" s="247" t="str">
        <f>ORÇAMENTO!A438</f>
        <v>19.2</v>
      </c>
      <c r="B1136" s="73" t="str">
        <f>ORÇAMENTO!B438</f>
        <v>GOINFRA</v>
      </c>
      <c r="C1136" s="74">
        <f>ORÇAMENTO!C438</f>
        <v>220201</v>
      </c>
      <c r="D1136" s="75" t="str">
        <f>ORÇAMENTO!D438</f>
        <v xml:space="preserve">CIMENT.LISO IMP.NATURAL E=2CM C/JUNTA PL.1CI:3ARMG </v>
      </c>
      <c r="E1136" s="74" t="str">
        <f>ORÇAMENTO!F438</f>
        <v xml:space="preserve">m2 </v>
      </c>
      <c r="F1136" s="358" t="s">
        <v>115</v>
      </c>
      <c r="G1136" s="359"/>
      <c r="H1136" s="354" t="s">
        <v>117</v>
      </c>
      <c r="I1136" s="355"/>
      <c r="J1136" s="79" t="s">
        <v>86</v>
      </c>
    </row>
    <row r="1137" spans="1:10" x14ac:dyDescent="0.3">
      <c r="A1137" s="258"/>
      <c r="B1137" s="73"/>
      <c r="C1137" s="74"/>
      <c r="D1137" s="75" t="s">
        <v>1053</v>
      </c>
      <c r="E1137" s="82"/>
      <c r="F1137" s="358">
        <v>26.95</v>
      </c>
      <c r="G1137" s="359"/>
      <c r="H1137" s="354">
        <v>16.100000000000001</v>
      </c>
      <c r="I1137" s="355"/>
      <c r="J1137" s="76">
        <f>H1137*F1137</f>
        <v>433.89500000000004</v>
      </c>
    </row>
    <row r="1138" spans="1:10" ht="15" thickBot="1" x14ac:dyDescent="0.35">
      <c r="A1138" s="364" t="s">
        <v>64</v>
      </c>
      <c r="B1138" s="365"/>
      <c r="C1138" s="365"/>
      <c r="D1138" s="365"/>
      <c r="E1138" s="365"/>
      <c r="F1138" s="365"/>
      <c r="G1138" s="365"/>
      <c r="H1138" s="365"/>
      <c r="I1138" s="366"/>
      <c r="J1138" s="275">
        <f>J1137</f>
        <v>433.89500000000004</v>
      </c>
    </row>
    <row r="1139" spans="1:10" s="52" customFormat="1" ht="28.8" x14ac:dyDescent="0.3">
      <c r="A1139" s="255" t="str">
        <f>ORÇAMENTO!A439</f>
        <v>19.3</v>
      </c>
      <c r="B1139" s="101" t="str">
        <f>ORÇAMENTO!B439</f>
        <v>GOINFRA</v>
      </c>
      <c r="C1139" s="102">
        <f>ORÇAMENTO!C439</f>
        <v>220100</v>
      </c>
      <c r="D1139" s="103" t="str">
        <f>ORÇAMENTO!D439</f>
        <v xml:space="preserve"> PASSEIO PROTECAO EM CONC.DESEMPEN.5 CM 1:2,5:3,5 ( INCLUSO ESPELHO DE 30CM/ESCAVAÇÃO/REATERRO/APILOAMENTO/ATERRO INTERNO)</v>
      </c>
      <c r="E1139" s="102" t="str">
        <f>ORÇAMENTO!F439</f>
        <v>m2</v>
      </c>
      <c r="F1139" s="374" t="s">
        <v>88</v>
      </c>
      <c r="G1139" s="375"/>
      <c r="H1139" s="375"/>
      <c r="I1139" s="376"/>
      <c r="J1139" s="100" t="s">
        <v>86</v>
      </c>
    </row>
    <row r="1140" spans="1:10" s="52" customFormat="1" x14ac:dyDescent="0.3">
      <c r="A1140" s="259"/>
      <c r="B1140" s="101"/>
      <c r="C1140" s="102"/>
      <c r="D1140" s="103" t="s">
        <v>1245</v>
      </c>
      <c r="E1140" s="104"/>
      <c r="F1140" s="388" t="s">
        <v>1251</v>
      </c>
      <c r="G1140" s="389"/>
      <c r="H1140" s="389"/>
      <c r="I1140" s="390"/>
      <c r="J1140" s="113">
        <f>(29.8*4+5*2+4.9*2+5*2)*1.2</f>
        <v>178.79999999999998</v>
      </c>
    </row>
    <row r="1141" spans="1:10" s="52" customFormat="1" x14ac:dyDescent="0.3">
      <c r="A1141" s="259"/>
      <c r="B1141" s="101"/>
      <c r="C1141" s="102"/>
      <c r="D1141" s="103" t="s">
        <v>1028</v>
      </c>
      <c r="E1141" s="104"/>
      <c r="F1141" s="388" t="s">
        <v>1247</v>
      </c>
      <c r="G1141" s="389"/>
      <c r="H1141" s="389"/>
      <c r="I1141" s="390"/>
      <c r="J1141" s="113">
        <f>(42.95+3.4+45.5+45.5)*1.2</f>
        <v>164.82</v>
      </c>
    </row>
    <row r="1142" spans="1:10" s="52" customFormat="1" x14ac:dyDescent="0.3">
      <c r="A1142" s="254"/>
      <c r="B1142" s="97"/>
      <c r="C1142" s="98"/>
      <c r="D1142" s="99" t="s">
        <v>1029</v>
      </c>
      <c r="E1142" s="98"/>
      <c r="F1142" s="388" t="s">
        <v>1248</v>
      </c>
      <c r="G1142" s="389"/>
      <c r="H1142" s="389"/>
      <c r="I1142" s="390"/>
      <c r="J1142" s="113">
        <f>(13.24+29.4+2.78+13.4+29.4+2.3)*1.2</f>
        <v>108.624</v>
      </c>
    </row>
    <row r="1143" spans="1:10" s="52" customFormat="1" x14ac:dyDescent="0.3">
      <c r="A1143" s="255"/>
      <c r="B1143" s="101"/>
      <c r="C1143" s="102"/>
      <c r="D1143" s="103" t="s">
        <v>1030</v>
      </c>
      <c r="E1143" s="102"/>
      <c r="F1143" s="388" t="s">
        <v>1249</v>
      </c>
      <c r="G1143" s="389"/>
      <c r="H1143" s="389"/>
      <c r="I1143" s="390"/>
      <c r="J1143" s="113">
        <f>(36.1+22.4+17.4+15.86+22.4)*1.2</f>
        <v>136.99199999999999</v>
      </c>
    </row>
    <row r="1144" spans="1:10" s="52" customFormat="1" x14ac:dyDescent="0.3">
      <c r="A1144" s="259"/>
      <c r="B1144" s="101"/>
      <c r="C1144" s="102"/>
      <c r="D1144" s="103" t="s">
        <v>1031</v>
      </c>
      <c r="E1144" s="104"/>
      <c r="F1144" s="388" t="s">
        <v>1246</v>
      </c>
      <c r="G1144" s="389"/>
      <c r="H1144" s="389"/>
      <c r="I1144" s="390"/>
      <c r="J1144" s="113">
        <f>(13.57+14.57+14.92+13.6)*1.2</f>
        <v>67.992000000000004</v>
      </c>
    </row>
    <row r="1145" spans="1:10" s="52" customFormat="1" x14ac:dyDescent="0.3">
      <c r="A1145" s="259"/>
      <c r="B1145" s="101"/>
      <c r="C1145" s="102"/>
      <c r="D1145" s="103" t="s">
        <v>1252</v>
      </c>
      <c r="E1145" s="104"/>
      <c r="F1145" s="388" t="s">
        <v>1253</v>
      </c>
      <c r="G1145" s="389"/>
      <c r="H1145" s="389"/>
      <c r="I1145" s="390"/>
      <c r="J1145" s="113">
        <f>(74.15+5.9+4.15+7.2+6.5+2.61)*2.5</f>
        <v>251.27500000000003</v>
      </c>
    </row>
    <row r="1146" spans="1:10" s="52" customFormat="1" ht="32.25" customHeight="1" x14ac:dyDescent="0.3">
      <c r="A1146" s="254"/>
      <c r="B1146" s="97"/>
      <c r="C1146" s="98"/>
      <c r="D1146" s="99" t="s">
        <v>1238</v>
      </c>
      <c r="E1146" s="98"/>
      <c r="F1146" s="422" t="s">
        <v>1250</v>
      </c>
      <c r="G1146" s="423"/>
      <c r="H1146" s="423"/>
      <c r="I1146" s="424"/>
      <c r="J1146" s="113">
        <f>(128.2+92.4+65.5+30+23.3+25.15+24.75+3.4+21.7+10.4+8.8+6.2)*1.2</f>
        <v>527.75999999999988</v>
      </c>
    </row>
    <row r="1147" spans="1:10" s="52" customFormat="1" ht="15" thickBot="1" x14ac:dyDescent="0.35">
      <c r="A1147" s="364" t="s">
        <v>64</v>
      </c>
      <c r="B1147" s="365"/>
      <c r="C1147" s="365"/>
      <c r="D1147" s="365"/>
      <c r="E1147" s="365"/>
      <c r="F1147" s="365"/>
      <c r="G1147" s="365"/>
      <c r="H1147" s="365"/>
      <c r="I1147" s="366"/>
      <c r="J1147" s="283">
        <f>SUM(J1140:J1146)</f>
        <v>1436.2629999999999</v>
      </c>
    </row>
    <row r="1148" spans="1:10" ht="28.8" x14ac:dyDescent="0.3">
      <c r="A1148" s="247" t="str">
        <f>ORÇAMENTO!A440</f>
        <v>19.4</v>
      </c>
      <c r="B1148" s="73" t="str">
        <f>ORÇAMENTO!B440</f>
        <v>GOINFRA</v>
      </c>
      <c r="C1148" s="74">
        <f>ORÇAMENTO!C440</f>
        <v>221101</v>
      </c>
      <c r="D1148" s="75" t="str">
        <f>ORÇAMENTO!D440</f>
        <v xml:space="preserve">GRANITINA 8MM FUNDIDA COM CONTRAPISO (1CI:3ARML) E=2CM E JUNTA PLASTICA 27MM </v>
      </c>
      <c r="E1148" s="74" t="str">
        <f>ORÇAMENTO!F440</f>
        <v xml:space="preserve">m2 </v>
      </c>
      <c r="F1148" s="371" t="s">
        <v>88</v>
      </c>
      <c r="G1148" s="372"/>
      <c r="H1148" s="372"/>
      <c r="I1148" s="373"/>
      <c r="J1148" s="79" t="s">
        <v>86</v>
      </c>
    </row>
    <row r="1149" spans="1:10" x14ac:dyDescent="0.3">
      <c r="A1149" s="258"/>
      <c r="B1149" s="73"/>
      <c r="C1149" s="107"/>
      <c r="D1149" s="75" t="s">
        <v>516</v>
      </c>
      <c r="E1149" s="245"/>
      <c r="F1149" s="360">
        <v>39.159999999999997</v>
      </c>
      <c r="G1149" s="361"/>
      <c r="H1149" s="361"/>
      <c r="I1149" s="362"/>
      <c r="J1149" s="276">
        <f>F1149</f>
        <v>39.159999999999997</v>
      </c>
    </row>
    <row r="1150" spans="1:10" x14ac:dyDescent="0.3">
      <c r="A1150" s="258"/>
      <c r="B1150" s="73"/>
      <c r="C1150" s="107"/>
      <c r="D1150" s="75" t="s">
        <v>905</v>
      </c>
      <c r="E1150" s="245"/>
      <c r="F1150" s="360">
        <v>12.25</v>
      </c>
      <c r="G1150" s="361"/>
      <c r="H1150" s="361"/>
      <c r="I1150" s="362"/>
      <c r="J1150" s="276">
        <f t="shared" ref="J1150:J1210" si="13">F1150</f>
        <v>12.25</v>
      </c>
    </row>
    <row r="1151" spans="1:10" x14ac:dyDescent="0.3">
      <c r="A1151" s="251"/>
      <c r="B1151" s="90"/>
      <c r="C1151" s="107"/>
      <c r="D1151" s="75" t="s">
        <v>906</v>
      </c>
      <c r="E1151" s="245"/>
      <c r="F1151" s="360">
        <v>12.25</v>
      </c>
      <c r="G1151" s="361"/>
      <c r="H1151" s="361"/>
      <c r="I1151" s="362"/>
      <c r="J1151" s="276">
        <f t="shared" si="13"/>
        <v>12.25</v>
      </c>
    </row>
    <row r="1152" spans="1:10" x14ac:dyDescent="0.3">
      <c r="A1152" s="247"/>
      <c r="B1152" s="73"/>
      <c r="C1152" s="107"/>
      <c r="D1152" s="75" t="s">
        <v>907</v>
      </c>
      <c r="E1152" s="245"/>
      <c r="F1152" s="360">
        <v>12.25</v>
      </c>
      <c r="G1152" s="361"/>
      <c r="H1152" s="361"/>
      <c r="I1152" s="362"/>
      <c r="J1152" s="276">
        <f t="shared" si="13"/>
        <v>12.25</v>
      </c>
    </row>
    <row r="1153" spans="1:10" x14ac:dyDescent="0.3">
      <c r="A1153" s="258"/>
      <c r="B1153" s="73"/>
      <c r="C1153" s="107"/>
      <c r="D1153" s="75" t="s">
        <v>908</v>
      </c>
      <c r="E1153" s="245"/>
      <c r="F1153" s="360">
        <v>12.25</v>
      </c>
      <c r="G1153" s="361"/>
      <c r="H1153" s="361"/>
      <c r="I1153" s="362"/>
      <c r="J1153" s="276">
        <f t="shared" si="13"/>
        <v>12.25</v>
      </c>
    </row>
    <row r="1154" spans="1:10" x14ac:dyDescent="0.3">
      <c r="A1154" s="258"/>
      <c r="B1154" s="73"/>
      <c r="C1154" s="107"/>
      <c r="D1154" s="75" t="s">
        <v>909</v>
      </c>
      <c r="E1154" s="245"/>
      <c r="F1154" s="360">
        <v>12.25</v>
      </c>
      <c r="G1154" s="361"/>
      <c r="H1154" s="361"/>
      <c r="I1154" s="362"/>
      <c r="J1154" s="276">
        <f t="shared" si="13"/>
        <v>12.25</v>
      </c>
    </row>
    <row r="1155" spans="1:10" x14ac:dyDescent="0.3">
      <c r="A1155" s="251"/>
      <c r="B1155" s="90"/>
      <c r="C1155" s="107"/>
      <c r="D1155" s="75" t="s">
        <v>910</v>
      </c>
      <c r="E1155" s="91"/>
      <c r="F1155" s="360">
        <v>12.25</v>
      </c>
      <c r="G1155" s="361"/>
      <c r="H1155" s="361"/>
      <c r="I1155" s="362"/>
      <c r="J1155" s="276">
        <f t="shared" si="13"/>
        <v>12.25</v>
      </c>
    </row>
    <row r="1156" spans="1:10" x14ac:dyDescent="0.3">
      <c r="A1156" s="247"/>
      <c r="B1156" s="73"/>
      <c r="C1156" s="107"/>
      <c r="D1156" s="75" t="s">
        <v>911</v>
      </c>
      <c r="E1156" s="245"/>
      <c r="F1156" s="360">
        <v>12.25</v>
      </c>
      <c r="G1156" s="361"/>
      <c r="H1156" s="361"/>
      <c r="I1156" s="362"/>
      <c r="J1156" s="276">
        <f t="shared" si="13"/>
        <v>12.25</v>
      </c>
    </row>
    <row r="1157" spans="1:10" x14ac:dyDescent="0.3">
      <c r="A1157" s="258"/>
      <c r="B1157" s="73"/>
      <c r="C1157" s="107"/>
      <c r="D1157" s="75" t="s">
        <v>912</v>
      </c>
      <c r="E1157" s="245"/>
      <c r="F1157" s="360">
        <v>12.25</v>
      </c>
      <c r="G1157" s="361"/>
      <c r="H1157" s="361"/>
      <c r="I1157" s="362"/>
      <c r="J1157" s="276">
        <f t="shared" si="13"/>
        <v>12.25</v>
      </c>
    </row>
    <row r="1158" spans="1:10" x14ac:dyDescent="0.3">
      <c r="A1158" s="258"/>
      <c r="B1158" s="73"/>
      <c r="C1158" s="107"/>
      <c r="D1158" s="75" t="s">
        <v>913</v>
      </c>
      <c r="E1158" s="245"/>
      <c r="F1158" s="360">
        <v>12.25</v>
      </c>
      <c r="G1158" s="361"/>
      <c r="H1158" s="361"/>
      <c r="I1158" s="362"/>
      <c r="J1158" s="276">
        <f t="shared" si="13"/>
        <v>12.25</v>
      </c>
    </row>
    <row r="1159" spans="1:10" x14ac:dyDescent="0.3">
      <c r="A1159" s="251"/>
      <c r="B1159" s="90"/>
      <c r="C1159" s="107"/>
      <c r="D1159" s="75" t="s">
        <v>914</v>
      </c>
      <c r="E1159" s="245"/>
      <c r="F1159" s="360">
        <v>12.25</v>
      </c>
      <c r="G1159" s="361"/>
      <c r="H1159" s="361"/>
      <c r="I1159" s="362"/>
      <c r="J1159" s="276">
        <f t="shared" si="13"/>
        <v>12.25</v>
      </c>
    </row>
    <row r="1160" spans="1:10" x14ac:dyDescent="0.3">
      <c r="A1160" s="247"/>
      <c r="B1160" s="73"/>
      <c r="C1160" s="107"/>
      <c r="D1160" s="75" t="s">
        <v>915</v>
      </c>
      <c r="E1160" s="245"/>
      <c r="F1160" s="360">
        <v>12.25</v>
      </c>
      <c r="G1160" s="361"/>
      <c r="H1160" s="361"/>
      <c r="I1160" s="362"/>
      <c r="J1160" s="276">
        <f t="shared" si="13"/>
        <v>12.25</v>
      </c>
    </row>
    <row r="1161" spans="1:10" x14ac:dyDescent="0.3">
      <c r="A1161" s="258"/>
      <c r="B1161" s="73"/>
      <c r="C1161" s="107"/>
      <c r="D1161" s="75" t="s">
        <v>916</v>
      </c>
      <c r="E1161" s="91"/>
      <c r="F1161" s="360">
        <v>12.25</v>
      </c>
      <c r="G1161" s="361"/>
      <c r="H1161" s="361"/>
      <c r="I1161" s="362"/>
      <c r="J1161" s="276">
        <f t="shared" si="13"/>
        <v>12.25</v>
      </c>
    </row>
    <row r="1162" spans="1:10" x14ac:dyDescent="0.3">
      <c r="A1162" s="258"/>
      <c r="B1162" s="73"/>
      <c r="C1162" s="107"/>
      <c r="D1162" s="75" t="s">
        <v>917</v>
      </c>
      <c r="E1162" s="245"/>
      <c r="F1162" s="360">
        <v>12.25</v>
      </c>
      <c r="G1162" s="361"/>
      <c r="H1162" s="361"/>
      <c r="I1162" s="362"/>
      <c r="J1162" s="276">
        <f t="shared" si="13"/>
        <v>12.25</v>
      </c>
    </row>
    <row r="1163" spans="1:10" x14ac:dyDescent="0.3">
      <c r="A1163" s="251"/>
      <c r="B1163" s="90"/>
      <c r="C1163" s="107"/>
      <c r="D1163" s="75" t="s">
        <v>918</v>
      </c>
      <c r="E1163" s="245"/>
      <c r="F1163" s="360">
        <v>12.25</v>
      </c>
      <c r="G1163" s="361"/>
      <c r="H1163" s="361"/>
      <c r="I1163" s="362"/>
      <c r="J1163" s="276">
        <f t="shared" si="13"/>
        <v>12.25</v>
      </c>
    </row>
    <row r="1164" spans="1:10" x14ac:dyDescent="0.3">
      <c r="A1164" s="247"/>
      <c r="B1164" s="73"/>
      <c r="C1164" s="107"/>
      <c r="D1164" s="75" t="s">
        <v>919</v>
      </c>
      <c r="E1164" s="245"/>
      <c r="F1164" s="360">
        <v>12.25</v>
      </c>
      <c r="G1164" s="361"/>
      <c r="H1164" s="361"/>
      <c r="I1164" s="362"/>
      <c r="J1164" s="276">
        <f t="shared" si="13"/>
        <v>12.25</v>
      </c>
    </row>
    <row r="1165" spans="1:10" x14ac:dyDescent="0.3">
      <c r="A1165" s="258"/>
      <c r="B1165" s="73"/>
      <c r="C1165" s="107"/>
      <c r="D1165" s="75" t="s">
        <v>920</v>
      </c>
      <c r="E1165" s="245"/>
      <c r="F1165" s="360">
        <v>12.25</v>
      </c>
      <c r="G1165" s="361"/>
      <c r="H1165" s="361"/>
      <c r="I1165" s="362"/>
      <c r="J1165" s="276">
        <f t="shared" si="13"/>
        <v>12.25</v>
      </c>
    </row>
    <row r="1166" spans="1:10" x14ac:dyDescent="0.3">
      <c r="A1166" s="258"/>
      <c r="B1166" s="73"/>
      <c r="C1166" s="107"/>
      <c r="D1166" s="75" t="s">
        <v>861</v>
      </c>
      <c r="E1166" s="245"/>
      <c r="F1166" s="360">
        <v>5.32</v>
      </c>
      <c r="G1166" s="361"/>
      <c r="H1166" s="361"/>
      <c r="I1166" s="362"/>
      <c r="J1166" s="276">
        <f t="shared" si="13"/>
        <v>5.32</v>
      </c>
    </row>
    <row r="1167" spans="1:10" x14ac:dyDescent="0.3">
      <c r="A1167" s="251"/>
      <c r="B1167" s="90"/>
      <c r="C1167" s="107"/>
      <c r="D1167" s="86" t="s">
        <v>863</v>
      </c>
      <c r="E1167" s="91"/>
      <c r="F1167" s="360">
        <v>3.35</v>
      </c>
      <c r="G1167" s="361"/>
      <c r="H1167" s="361"/>
      <c r="I1167" s="362"/>
      <c r="J1167" s="276">
        <f t="shared" si="13"/>
        <v>3.35</v>
      </c>
    </row>
    <row r="1168" spans="1:10" x14ac:dyDescent="0.3">
      <c r="A1168" s="247"/>
      <c r="B1168" s="73"/>
      <c r="C1168" s="107"/>
      <c r="D1168" s="75" t="s">
        <v>774</v>
      </c>
      <c r="E1168" s="245"/>
      <c r="F1168" s="360">
        <v>5.32</v>
      </c>
      <c r="G1168" s="361"/>
      <c r="H1168" s="361"/>
      <c r="I1168" s="362"/>
      <c r="J1168" s="276">
        <f t="shared" si="13"/>
        <v>5.32</v>
      </c>
    </row>
    <row r="1169" spans="1:10" x14ac:dyDescent="0.3">
      <c r="A1169" s="258"/>
      <c r="B1169" s="73"/>
      <c r="C1169" s="107"/>
      <c r="D1169" s="75" t="s">
        <v>864</v>
      </c>
      <c r="E1169" s="245"/>
      <c r="F1169" s="360">
        <v>3.35</v>
      </c>
      <c r="G1169" s="361"/>
      <c r="H1169" s="361"/>
      <c r="I1169" s="362"/>
      <c r="J1169" s="276">
        <f t="shared" si="13"/>
        <v>3.35</v>
      </c>
    </row>
    <row r="1170" spans="1:10" x14ac:dyDescent="0.3">
      <c r="A1170" s="258"/>
      <c r="B1170" s="73"/>
      <c r="C1170" s="107"/>
      <c r="D1170" s="75" t="s">
        <v>922</v>
      </c>
      <c r="E1170" s="245"/>
      <c r="F1170" s="360">
        <v>3.63</v>
      </c>
      <c r="G1170" s="361"/>
      <c r="H1170" s="361"/>
      <c r="I1170" s="362"/>
      <c r="J1170" s="276">
        <f t="shared" si="13"/>
        <v>3.63</v>
      </c>
    </row>
    <row r="1171" spans="1:10" x14ac:dyDescent="0.3">
      <c r="A1171" s="251"/>
      <c r="B1171" s="90"/>
      <c r="C1171" s="107"/>
      <c r="D1171" s="75" t="s">
        <v>921</v>
      </c>
      <c r="E1171" s="245"/>
      <c r="F1171" s="360">
        <v>17.440000000000001</v>
      </c>
      <c r="G1171" s="361"/>
      <c r="H1171" s="361"/>
      <c r="I1171" s="362"/>
      <c r="J1171" s="276">
        <f t="shared" si="13"/>
        <v>17.440000000000001</v>
      </c>
    </row>
    <row r="1172" spans="1:10" x14ac:dyDescent="0.3">
      <c r="A1172" s="247"/>
      <c r="B1172" s="73"/>
      <c r="C1172" s="107"/>
      <c r="D1172" s="75" t="s">
        <v>923</v>
      </c>
      <c r="E1172" s="245"/>
      <c r="F1172" s="360">
        <v>5.74</v>
      </c>
      <c r="G1172" s="361"/>
      <c r="H1172" s="361"/>
      <c r="I1172" s="362"/>
      <c r="J1172" s="276">
        <f t="shared" si="13"/>
        <v>5.74</v>
      </c>
    </row>
    <row r="1173" spans="1:10" x14ac:dyDescent="0.3">
      <c r="A1173" s="258"/>
      <c r="B1173" s="73"/>
      <c r="C1173" s="107"/>
      <c r="D1173" s="86" t="s">
        <v>616</v>
      </c>
      <c r="E1173" s="91"/>
      <c r="F1173" s="360">
        <v>12.25</v>
      </c>
      <c r="G1173" s="361"/>
      <c r="H1173" s="361"/>
      <c r="I1173" s="362"/>
      <c r="J1173" s="276">
        <f t="shared" si="13"/>
        <v>12.25</v>
      </c>
    </row>
    <row r="1174" spans="1:10" x14ac:dyDescent="0.3">
      <c r="A1174" s="258"/>
      <c r="B1174" s="73"/>
      <c r="C1174" s="107"/>
      <c r="D1174" s="86" t="s">
        <v>811</v>
      </c>
      <c r="E1174" s="91"/>
      <c r="F1174" s="360">
        <v>48.09</v>
      </c>
      <c r="G1174" s="361"/>
      <c r="H1174" s="361"/>
      <c r="I1174" s="362"/>
      <c r="J1174" s="276">
        <f t="shared" si="13"/>
        <v>48.09</v>
      </c>
    </row>
    <row r="1175" spans="1:10" x14ac:dyDescent="0.3">
      <c r="A1175" s="251"/>
      <c r="B1175" s="90"/>
      <c r="C1175" s="107"/>
      <c r="D1175" s="86" t="s">
        <v>720</v>
      </c>
      <c r="E1175" s="91"/>
      <c r="F1175" s="360">
        <v>4.26</v>
      </c>
      <c r="G1175" s="361"/>
      <c r="H1175" s="361"/>
      <c r="I1175" s="362"/>
      <c r="J1175" s="276">
        <f t="shared" si="13"/>
        <v>4.26</v>
      </c>
    </row>
    <row r="1176" spans="1:10" x14ac:dyDescent="0.3">
      <c r="A1176" s="247"/>
      <c r="B1176" s="73"/>
      <c r="C1176" s="107"/>
      <c r="D1176" s="86" t="s">
        <v>780</v>
      </c>
      <c r="E1176" s="91"/>
      <c r="F1176" s="360">
        <v>11.73</v>
      </c>
      <c r="G1176" s="361"/>
      <c r="H1176" s="361"/>
      <c r="I1176" s="362"/>
      <c r="J1176" s="276">
        <f t="shared" si="13"/>
        <v>11.73</v>
      </c>
    </row>
    <row r="1177" spans="1:10" x14ac:dyDescent="0.3">
      <c r="A1177" s="258"/>
      <c r="B1177" s="73"/>
      <c r="C1177" s="107"/>
      <c r="D1177" s="86" t="s">
        <v>781</v>
      </c>
      <c r="E1177" s="91"/>
      <c r="F1177" s="360">
        <v>11.73</v>
      </c>
      <c r="G1177" s="361"/>
      <c r="H1177" s="361"/>
      <c r="I1177" s="362"/>
      <c r="J1177" s="276">
        <f t="shared" si="13"/>
        <v>11.73</v>
      </c>
    </row>
    <row r="1178" spans="1:10" x14ac:dyDescent="0.3">
      <c r="A1178" s="258"/>
      <c r="B1178" s="73"/>
      <c r="C1178" s="107"/>
      <c r="D1178" s="86" t="s">
        <v>723</v>
      </c>
      <c r="E1178" s="91"/>
      <c r="F1178" s="360">
        <v>11.2</v>
      </c>
      <c r="G1178" s="361"/>
      <c r="H1178" s="361"/>
      <c r="I1178" s="362"/>
      <c r="J1178" s="276">
        <f t="shared" si="13"/>
        <v>11.2</v>
      </c>
    </row>
    <row r="1179" spans="1:10" x14ac:dyDescent="0.3">
      <c r="A1179" s="251"/>
      <c r="B1179" s="90"/>
      <c r="C1179" s="107"/>
      <c r="D1179" s="86" t="s">
        <v>633</v>
      </c>
      <c r="E1179" s="91"/>
      <c r="F1179" s="360">
        <v>7.74</v>
      </c>
      <c r="G1179" s="361"/>
      <c r="H1179" s="361"/>
      <c r="I1179" s="362"/>
      <c r="J1179" s="276">
        <f t="shared" si="13"/>
        <v>7.74</v>
      </c>
    </row>
    <row r="1180" spans="1:10" x14ac:dyDescent="0.3">
      <c r="A1180" s="247"/>
      <c r="B1180" s="73"/>
      <c r="C1180" s="107"/>
      <c r="D1180" s="86" t="s">
        <v>727</v>
      </c>
      <c r="E1180" s="91"/>
      <c r="F1180" s="360">
        <v>10.33</v>
      </c>
      <c r="G1180" s="361"/>
      <c r="H1180" s="361"/>
      <c r="I1180" s="362"/>
      <c r="J1180" s="276">
        <f t="shared" si="13"/>
        <v>10.33</v>
      </c>
    </row>
    <row r="1181" spans="1:10" x14ac:dyDescent="0.3">
      <c r="A1181" s="258"/>
      <c r="B1181" s="73"/>
      <c r="C1181" s="107"/>
      <c r="D1181" s="86" t="s">
        <v>729</v>
      </c>
      <c r="E1181" s="91"/>
      <c r="F1181" s="360">
        <v>10.33</v>
      </c>
      <c r="G1181" s="361"/>
      <c r="H1181" s="361"/>
      <c r="I1181" s="362"/>
      <c r="J1181" s="276">
        <f t="shared" si="13"/>
        <v>10.33</v>
      </c>
    </row>
    <row r="1182" spans="1:10" x14ac:dyDescent="0.3">
      <c r="A1182" s="258"/>
      <c r="B1182" s="73"/>
      <c r="C1182" s="107"/>
      <c r="D1182" s="86" t="s">
        <v>730</v>
      </c>
      <c r="E1182" s="91"/>
      <c r="F1182" s="360">
        <v>10.33</v>
      </c>
      <c r="G1182" s="361"/>
      <c r="H1182" s="361"/>
      <c r="I1182" s="362"/>
      <c r="J1182" s="276">
        <f t="shared" si="13"/>
        <v>10.33</v>
      </c>
    </row>
    <row r="1183" spans="1:10" x14ac:dyDescent="0.3">
      <c r="A1183" s="251"/>
      <c r="B1183" s="90"/>
      <c r="C1183" s="107"/>
      <c r="D1183" s="86" t="s">
        <v>731</v>
      </c>
      <c r="E1183" s="91"/>
      <c r="F1183" s="360">
        <v>10.33</v>
      </c>
      <c r="G1183" s="361"/>
      <c r="H1183" s="361"/>
      <c r="I1183" s="362"/>
      <c r="J1183" s="276">
        <f t="shared" si="13"/>
        <v>10.33</v>
      </c>
    </row>
    <row r="1184" spans="1:10" x14ac:dyDescent="0.3">
      <c r="A1184" s="247"/>
      <c r="B1184" s="73"/>
      <c r="C1184" s="107"/>
      <c r="D1184" s="86" t="s">
        <v>924</v>
      </c>
      <c r="E1184" s="91"/>
      <c r="F1184" s="360">
        <v>33.39</v>
      </c>
      <c r="G1184" s="361"/>
      <c r="H1184" s="361"/>
      <c r="I1184" s="362"/>
      <c r="J1184" s="276">
        <f t="shared" si="13"/>
        <v>33.39</v>
      </c>
    </row>
    <row r="1185" spans="1:10" x14ac:dyDescent="0.3">
      <c r="A1185" s="258"/>
      <c r="B1185" s="73"/>
      <c r="C1185" s="107"/>
      <c r="D1185" s="86" t="s">
        <v>724</v>
      </c>
      <c r="E1185" s="91"/>
      <c r="F1185" s="360">
        <v>3.07</v>
      </c>
      <c r="G1185" s="361"/>
      <c r="H1185" s="361"/>
      <c r="I1185" s="362"/>
      <c r="J1185" s="276">
        <f t="shared" si="13"/>
        <v>3.07</v>
      </c>
    </row>
    <row r="1186" spans="1:10" x14ac:dyDescent="0.3">
      <c r="A1186" s="258"/>
      <c r="B1186" s="73"/>
      <c r="C1186" s="107"/>
      <c r="D1186" s="86" t="s">
        <v>725</v>
      </c>
      <c r="E1186" s="91"/>
      <c r="F1186" s="360">
        <v>3.07</v>
      </c>
      <c r="G1186" s="361"/>
      <c r="H1186" s="361"/>
      <c r="I1186" s="362"/>
      <c r="J1186" s="276">
        <f t="shared" si="13"/>
        <v>3.07</v>
      </c>
    </row>
    <row r="1187" spans="1:10" x14ac:dyDescent="0.3">
      <c r="A1187" s="251"/>
      <c r="B1187" s="90"/>
      <c r="C1187" s="107"/>
      <c r="D1187" s="86" t="s">
        <v>841</v>
      </c>
      <c r="E1187" s="91"/>
      <c r="F1187" s="360">
        <v>10.33</v>
      </c>
      <c r="G1187" s="361"/>
      <c r="H1187" s="361"/>
      <c r="I1187" s="362"/>
      <c r="J1187" s="276">
        <f t="shared" si="13"/>
        <v>10.33</v>
      </c>
    </row>
    <row r="1188" spans="1:10" x14ac:dyDescent="0.3">
      <c r="A1188" s="247"/>
      <c r="B1188" s="73"/>
      <c r="C1188" s="107"/>
      <c r="D1188" s="86" t="s">
        <v>787</v>
      </c>
      <c r="E1188" s="91"/>
      <c r="F1188" s="360">
        <v>3.08</v>
      </c>
      <c r="G1188" s="361"/>
      <c r="H1188" s="361"/>
      <c r="I1188" s="362"/>
      <c r="J1188" s="276">
        <f t="shared" si="13"/>
        <v>3.08</v>
      </c>
    </row>
    <row r="1189" spans="1:10" x14ac:dyDescent="0.3">
      <c r="A1189" s="258"/>
      <c r="B1189" s="73"/>
      <c r="C1189" s="107"/>
      <c r="D1189" s="86" t="s">
        <v>789</v>
      </c>
      <c r="E1189" s="91"/>
      <c r="F1189" s="360">
        <v>3.08</v>
      </c>
      <c r="G1189" s="361"/>
      <c r="H1189" s="361"/>
      <c r="I1189" s="362"/>
      <c r="J1189" s="276">
        <f t="shared" si="13"/>
        <v>3.08</v>
      </c>
    </row>
    <row r="1190" spans="1:10" x14ac:dyDescent="0.3">
      <c r="A1190" s="258"/>
      <c r="B1190" s="73"/>
      <c r="C1190" s="107"/>
      <c r="D1190" s="86" t="s">
        <v>732</v>
      </c>
      <c r="E1190" s="91"/>
      <c r="F1190" s="360">
        <v>10.15</v>
      </c>
      <c r="G1190" s="361"/>
      <c r="H1190" s="361"/>
      <c r="I1190" s="362"/>
      <c r="J1190" s="276">
        <f t="shared" si="13"/>
        <v>10.15</v>
      </c>
    </row>
    <row r="1191" spans="1:10" x14ac:dyDescent="0.3">
      <c r="A1191" s="251"/>
      <c r="B1191" s="90"/>
      <c r="C1191" s="107"/>
      <c r="D1191" s="75" t="s">
        <v>925</v>
      </c>
      <c r="E1191" s="91"/>
      <c r="F1191" s="360">
        <v>3.41</v>
      </c>
      <c r="G1191" s="361"/>
      <c r="H1191" s="361"/>
      <c r="I1191" s="362"/>
      <c r="J1191" s="276">
        <f t="shared" si="13"/>
        <v>3.41</v>
      </c>
    </row>
    <row r="1192" spans="1:10" x14ac:dyDescent="0.3">
      <c r="A1192" s="247"/>
      <c r="B1192" s="73"/>
      <c r="C1192" s="107"/>
      <c r="D1192" s="75" t="s">
        <v>926</v>
      </c>
      <c r="E1192" s="91"/>
      <c r="F1192" s="360">
        <v>11.55</v>
      </c>
      <c r="G1192" s="361"/>
      <c r="H1192" s="361"/>
      <c r="I1192" s="362"/>
      <c r="J1192" s="276">
        <f t="shared" si="13"/>
        <v>11.55</v>
      </c>
    </row>
    <row r="1193" spans="1:10" x14ac:dyDescent="0.3">
      <c r="A1193" s="258"/>
      <c r="B1193" s="73"/>
      <c r="C1193" s="107"/>
      <c r="D1193" s="86" t="s">
        <v>927</v>
      </c>
      <c r="E1193" s="91"/>
      <c r="F1193" s="360">
        <v>11.55</v>
      </c>
      <c r="G1193" s="361"/>
      <c r="H1193" s="361"/>
      <c r="I1193" s="362"/>
      <c r="J1193" s="276">
        <f t="shared" si="13"/>
        <v>11.55</v>
      </c>
    </row>
    <row r="1194" spans="1:10" x14ac:dyDescent="0.3">
      <c r="A1194" s="258"/>
      <c r="B1194" s="73"/>
      <c r="C1194" s="107"/>
      <c r="D1194" s="86" t="s">
        <v>928</v>
      </c>
      <c r="E1194" s="91"/>
      <c r="F1194" s="360">
        <v>11.55</v>
      </c>
      <c r="G1194" s="361"/>
      <c r="H1194" s="361"/>
      <c r="I1194" s="362"/>
      <c r="J1194" s="276">
        <f t="shared" si="13"/>
        <v>11.55</v>
      </c>
    </row>
    <row r="1195" spans="1:10" x14ac:dyDescent="0.3">
      <c r="A1195" s="251"/>
      <c r="B1195" s="90"/>
      <c r="C1195" s="107"/>
      <c r="D1195" s="86" t="s">
        <v>929</v>
      </c>
      <c r="E1195" s="91"/>
      <c r="F1195" s="360">
        <v>11.55</v>
      </c>
      <c r="G1195" s="361"/>
      <c r="H1195" s="361"/>
      <c r="I1195" s="362"/>
      <c r="J1195" s="276">
        <f t="shared" si="13"/>
        <v>11.55</v>
      </c>
    </row>
    <row r="1196" spans="1:10" x14ac:dyDescent="0.3">
      <c r="A1196" s="247"/>
      <c r="B1196" s="73"/>
      <c r="C1196" s="107"/>
      <c r="D1196" s="86" t="s">
        <v>930</v>
      </c>
      <c r="E1196" s="91"/>
      <c r="F1196" s="360">
        <v>11.55</v>
      </c>
      <c r="G1196" s="361"/>
      <c r="H1196" s="361"/>
      <c r="I1196" s="362"/>
      <c r="J1196" s="276">
        <f t="shared" si="13"/>
        <v>11.55</v>
      </c>
    </row>
    <row r="1197" spans="1:10" x14ac:dyDescent="0.3">
      <c r="A1197" s="258"/>
      <c r="B1197" s="73"/>
      <c r="C1197" s="107"/>
      <c r="D1197" s="86" t="s">
        <v>931</v>
      </c>
      <c r="E1197" s="91"/>
      <c r="F1197" s="360">
        <v>11.55</v>
      </c>
      <c r="G1197" s="361"/>
      <c r="H1197" s="361"/>
      <c r="I1197" s="362"/>
      <c r="J1197" s="276">
        <f t="shared" si="13"/>
        <v>11.55</v>
      </c>
    </row>
    <row r="1198" spans="1:10" x14ac:dyDescent="0.3">
      <c r="A1198" s="258"/>
      <c r="B1198" s="73"/>
      <c r="C1198" s="107"/>
      <c r="D1198" s="86" t="s">
        <v>932</v>
      </c>
      <c r="E1198" s="91"/>
      <c r="F1198" s="360">
        <v>11.55</v>
      </c>
      <c r="G1198" s="361"/>
      <c r="H1198" s="361"/>
      <c r="I1198" s="362"/>
      <c r="J1198" s="276">
        <f t="shared" si="13"/>
        <v>11.55</v>
      </c>
    </row>
    <row r="1199" spans="1:10" x14ac:dyDescent="0.3">
      <c r="A1199" s="251"/>
      <c r="B1199" s="90"/>
      <c r="C1199" s="107"/>
      <c r="D1199" s="86" t="s">
        <v>933</v>
      </c>
      <c r="E1199" s="91"/>
      <c r="F1199" s="360">
        <v>11.55</v>
      </c>
      <c r="G1199" s="361"/>
      <c r="H1199" s="361"/>
      <c r="I1199" s="362"/>
      <c r="J1199" s="276">
        <f t="shared" si="13"/>
        <v>11.55</v>
      </c>
    </row>
    <row r="1200" spans="1:10" x14ac:dyDescent="0.3">
      <c r="A1200" s="247"/>
      <c r="B1200" s="73"/>
      <c r="C1200" s="107"/>
      <c r="D1200" s="86" t="s">
        <v>626</v>
      </c>
      <c r="E1200" s="91"/>
      <c r="F1200" s="360">
        <v>25.87</v>
      </c>
      <c r="G1200" s="361"/>
      <c r="H1200" s="361"/>
      <c r="I1200" s="362"/>
      <c r="J1200" s="276">
        <f t="shared" si="13"/>
        <v>25.87</v>
      </c>
    </row>
    <row r="1201" spans="1:10" x14ac:dyDescent="0.3">
      <c r="A1201" s="258"/>
      <c r="B1201" s="73"/>
      <c r="C1201" s="107"/>
      <c r="D1201" s="86" t="s">
        <v>627</v>
      </c>
      <c r="E1201" s="91"/>
      <c r="F1201" s="360">
        <v>6.7</v>
      </c>
      <c r="G1201" s="361"/>
      <c r="H1201" s="361"/>
      <c r="I1201" s="362"/>
      <c r="J1201" s="276">
        <f t="shared" si="13"/>
        <v>6.7</v>
      </c>
    </row>
    <row r="1202" spans="1:10" x14ac:dyDescent="0.3">
      <c r="A1202" s="258"/>
      <c r="B1202" s="73"/>
      <c r="C1202" s="107"/>
      <c r="D1202" s="86" t="s">
        <v>737</v>
      </c>
      <c r="E1202" s="91"/>
      <c r="F1202" s="360">
        <v>6.7</v>
      </c>
      <c r="G1202" s="361"/>
      <c r="H1202" s="361"/>
      <c r="I1202" s="362"/>
      <c r="J1202" s="276">
        <f t="shared" si="13"/>
        <v>6.7</v>
      </c>
    </row>
    <row r="1203" spans="1:10" x14ac:dyDescent="0.3">
      <c r="A1203" s="251"/>
      <c r="B1203" s="90"/>
      <c r="C1203" s="107"/>
      <c r="D1203" s="86" t="s">
        <v>628</v>
      </c>
      <c r="E1203" s="91"/>
      <c r="F1203" s="360">
        <v>21.53</v>
      </c>
      <c r="G1203" s="361"/>
      <c r="H1203" s="361"/>
      <c r="I1203" s="362"/>
      <c r="J1203" s="276">
        <f t="shared" si="13"/>
        <v>21.53</v>
      </c>
    </row>
    <row r="1204" spans="1:10" x14ac:dyDescent="0.3">
      <c r="A1204" s="247"/>
      <c r="B1204" s="73"/>
      <c r="C1204" s="107"/>
      <c r="D1204" s="86" t="s">
        <v>934</v>
      </c>
      <c r="E1204" s="91"/>
      <c r="F1204" s="360">
        <v>6.69</v>
      </c>
      <c r="G1204" s="361"/>
      <c r="H1204" s="361"/>
      <c r="I1204" s="362"/>
      <c r="J1204" s="276">
        <f t="shared" si="13"/>
        <v>6.69</v>
      </c>
    </row>
    <row r="1205" spans="1:10" x14ac:dyDescent="0.3">
      <c r="A1205" s="258"/>
      <c r="B1205" s="73"/>
      <c r="C1205" s="107"/>
      <c r="D1205" s="86" t="s">
        <v>741</v>
      </c>
      <c r="E1205" s="91"/>
      <c r="F1205" s="360">
        <v>3.5</v>
      </c>
      <c r="G1205" s="361"/>
      <c r="H1205" s="361"/>
      <c r="I1205" s="362"/>
      <c r="J1205" s="276">
        <f t="shared" si="13"/>
        <v>3.5</v>
      </c>
    </row>
    <row r="1206" spans="1:10" x14ac:dyDescent="0.3">
      <c r="A1206" s="258"/>
      <c r="B1206" s="73"/>
      <c r="C1206" s="107"/>
      <c r="D1206" s="86" t="s">
        <v>935</v>
      </c>
      <c r="E1206" s="91"/>
      <c r="F1206" s="360">
        <v>3.5</v>
      </c>
      <c r="G1206" s="361"/>
      <c r="H1206" s="361"/>
      <c r="I1206" s="362"/>
      <c r="J1206" s="276">
        <f t="shared" si="13"/>
        <v>3.5</v>
      </c>
    </row>
    <row r="1207" spans="1:10" x14ac:dyDescent="0.3">
      <c r="A1207" s="251"/>
      <c r="B1207" s="90"/>
      <c r="C1207" s="107"/>
      <c r="D1207" s="86" t="s">
        <v>936</v>
      </c>
      <c r="E1207" s="91"/>
      <c r="F1207" s="360">
        <v>3.5</v>
      </c>
      <c r="G1207" s="361"/>
      <c r="H1207" s="361"/>
      <c r="I1207" s="362"/>
      <c r="J1207" s="276">
        <f t="shared" si="13"/>
        <v>3.5</v>
      </c>
    </row>
    <row r="1208" spans="1:10" x14ac:dyDescent="0.3">
      <c r="A1208" s="247"/>
      <c r="B1208" s="73"/>
      <c r="C1208" s="107"/>
      <c r="D1208" s="86" t="s">
        <v>937</v>
      </c>
      <c r="E1208" s="91"/>
      <c r="F1208" s="360">
        <v>3.5</v>
      </c>
      <c r="G1208" s="361"/>
      <c r="H1208" s="361"/>
      <c r="I1208" s="362"/>
      <c r="J1208" s="276">
        <f t="shared" si="13"/>
        <v>3.5</v>
      </c>
    </row>
    <row r="1209" spans="1:10" x14ac:dyDescent="0.3">
      <c r="A1209" s="258"/>
      <c r="B1209" s="73"/>
      <c r="C1209" s="107"/>
      <c r="D1209" s="86" t="s">
        <v>748</v>
      </c>
      <c r="E1209" s="91"/>
      <c r="F1209" s="360">
        <v>10.75</v>
      </c>
      <c r="G1209" s="361"/>
      <c r="H1209" s="361"/>
      <c r="I1209" s="362"/>
      <c r="J1209" s="276">
        <f t="shared" si="13"/>
        <v>10.75</v>
      </c>
    </row>
    <row r="1210" spans="1:10" x14ac:dyDescent="0.3">
      <c r="A1210" s="258"/>
      <c r="B1210" s="73"/>
      <c r="C1210" s="107"/>
      <c r="D1210" s="86" t="s">
        <v>1545</v>
      </c>
      <c r="E1210" s="91"/>
      <c r="F1210" s="360">
        <v>13.55</v>
      </c>
      <c r="G1210" s="361"/>
      <c r="H1210" s="361"/>
      <c r="I1210" s="362"/>
      <c r="J1210" s="276">
        <f t="shared" si="13"/>
        <v>13.55</v>
      </c>
    </row>
    <row r="1211" spans="1:10" x14ac:dyDescent="0.3">
      <c r="A1211" s="258"/>
      <c r="B1211" s="73"/>
      <c r="C1211" s="107"/>
      <c r="D1211" s="122" t="s">
        <v>1051</v>
      </c>
      <c r="E1211" s="107"/>
      <c r="F1211" s="351">
        <f t="shared" ref="F1211" si="14">J1211</f>
        <v>459.90000000000003</v>
      </c>
      <c r="G1211" s="352"/>
      <c r="H1211" s="352"/>
      <c r="I1211" s="353"/>
      <c r="J1211" s="117">
        <f>18*25.55</f>
        <v>459.90000000000003</v>
      </c>
    </row>
    <row r="1212" spans="1:10" x14ac:dyDescent="0.3">
      <c r="A1212" s="247"/>
      <c r="B1212" s="73"/>
      <c r="C1212" s="107"/>
      <c r="D1212" s="122" t="s">
        <v>96</v>
      </c>
      <c r="E1212" s="107"/>
      <c r="F1212" s="351">
        <f>J1212</f>
        <v>398.04</v>
      </c>
      <c r="G1212" s="352"/>
      <c r="H1212" s="352"/>
      <c r="I1212" s="353"/>
      <c r="J1212" s="117">
        <f>32.1*12.4</f>
        <v>398.04</v>
      </c>
    </row>
    <row r="1213" spans="1:10" x14ac:dyDescent="0.3">
      <c r="A1213" s="247"/>
      <c r="B1213" s="73"/>
      <c r="C1213" s="74"/>
      <c r="D1213" s="75" t="s">
        <v>1543</v>
      </c>
      <c r="E1213" s="245"/>
      <c r="F1213" s="354">
        <v>95.83</v>
      </c>
      <c r="G1213" s="369"/>
      <c r="H1213" s="369"/>
      <c r="I1213" s="355"/>
      <c r="J1213" s="244">
        <f>83.05+39.2</f>
        <v>122.25</v>
      </c>
    </row>
    <row r="1214" spans="1:10" x14ac:dyDescent="0.3">
      <c r="A1214" s="247"/>
      <c r="B1214" s="73"/>
      <c r="C1214" s="74"/>
      <c r="D1214" s="75" t="s">
        <v>904</v>
      </c>
      <c r="E1214" s="245"/>
      <c r="F1214" s="360">
        <f>4.08+48.65+11.4+64.38</f>
        <v>128.51</v>
      </c>
      <c r="G1214" s="361"/>
      <c r="H1214" s="361"/>
      <c r="I1214" s="362"/>
      <c r="J1214" s="244">
        <f>F1214</f>
        <v>128.51</v>
      </c>
    </row>
    <row r="1215" spans="1:10" x14ac:dyDescent="0.3">
      <c r="A1215" s="247"/>
      <c r="B1215" s="73"/>
      <c r="C1215" s="74"/>
      <c r="D1215" s="75" t="s">
        <v>853</v>
      </c>
      <c r="E1215" s="245"/>
      <c r="F1215" s="360">
        <v>46.48</v>
      </c>
      <c r="G1215" s="361"/>
      <c r="H1215" s="361"/>
      <c r="I1215" s="362"/>
      <c r="J1215" s="244">
        <f>F1215</f>
        <v>46.48</v>
      </c>
    </row>
    <row r="1216" spans="1:10" x14ac:dyDescent="0.3">
      <c r="A1216" s="247"/>
      <c r="B1216" s="73"/>
      <c r="C1216" s="74"/>
      <c r="D1216" s="75" t="s">
        <v>1542</v>
      </c>
      <c r="E1216" s="245"/>
      <c r="F1216" s="354">
        <v>84.46</v>
      </c>
      <c r="G1216" s="369"/>
      <c r="H1216" s="369"/>
      <c r="I1216" s="355"/>
      <c r="J1216" s="76">
        <f>F1216</f>
        <v>84.46</v>
      </c>
    </row>
    <row r="1217" spans="1:10" x14ac:dyDescent="0.3">
      <c r="A1217" s="247"/>
      <c r="B1217" s="73"/>
      <c r="C1217" s="74"/>
      <c r="D1217" s="75" t="s">
        <v>1556</v>
      </c>
      <c r="E1217" s="245"/>
      <c r="F1217" s="354">
        <v>114.8</v>
      </c>
      <c r="G1217" s="369"/>
      <c r="H1217" s="369"/>
      <c r="I1217" s="355"/>
      <c r="J1217" s="76">
        <f>F1217</f>
        <v>114.8</v>
      </c>
    </row>
    <row r="1218" spans="1:10" ht="15" thickBot="1" x14ac:dyDescent="0.35">
      <c r="A1218" s="364" t="s">
        <v>64</v>
      </c>
      <c r="B1218" s="365"/>
      <c r="C1218" s="365"/>
      <c r="D1218" s="365"/>
      <c r="E1218" s="365"/>
      <c r="F1218" s="365"/>
      <c r="G1218" s="365"/>
      <c r="H1218" s="365"/>
      <c r="I1218" s="366"/>
      <c r="J1218" s="275">
        <f>SUM(J1149:J1217)</f>
        <v>2049.8399999999997</v>
      </c>
    </row>
    <row r="1219" spans="1:10" x14ac:dyDescent="0.3">
      <c r="A1219" s="258" t="str">
        <f>ORÇAMENTO!A441</f>
        <v>19.5</v>
      </c>
      <c r="B1219" s="73" t="str">
        <f>ORÇAMENTO!B441</f>
        <v>GOINFRA</v>
      </c>
      <c r="C1219" s="74">
        <f>ORÇAMENTO!C441</f>
        <v>221102</v>
      </c>
      <c r="D1219" s="75" t="str">
        <f>ORÇAMENTO!D441</f>
        <v xml:space="preserve">RODAPÉ FUNDIDO DE GRANITINA 7CM </v>
      </c>
      <c r="E1219" s="74" t="str">
        <f>ORÇAMENTO!F441</f>
        <v xml:space="preserve">m </v>
      </c>
      <c r="F1219" s="371" t="s">
        <v>115</v>
      </c>
      <c r="G1219" s="372"/>
      <c r="H1219" s="372"/>
      <c r="I1219" s="373"/>
      <c r="J1219" s="79" t="s">
        <v>86</v>
      </c>
    </row>
    <row r="1220" spans="1:10" x14ac:dyDescent="0.3">
      <c r="A1220" s="258"/>
      <c r="B1220" s="73"/>
      <c r="C1220" s="107"/>
      <c r="D1220" s="122" t="s">
        <v>756</v>
      </c>
      <c r="E1220" s="107"/>
      <c r="F1220" s="351">
        <v>13.96</v>
      </c>
      <c r="G1220" s="352"/>
      <c r="H1220" s="352"/>
      <c r="I1220" s="353"/>
      <c r="J1220" s="76">
        <v>13.96</v>
      </c>
    </row>
    <row r="1221" spans="1:10" x14ac:dyDescent="0.3">
      <c r="A1221" s="258"/>
      <c r="B1221" s="73"/>
      <c r="C1221" s="107"/>
      <c r="D1221" s="122" t="s">
        <v>1052</v>
      </c>
      <c r="E1221" s="107"/>
      <c r="F1221" s="351">
        <v>0.8</v>
      </c>
      <c r="G1221" s="352"/>
      <c r="H1221" s="352"/>
      <c r="I1221" s="353"/>
      <c r="J1221" s="76">
        <v>-0.8</v>
      </c>
    </row>
    <row r="1222" spans="1:10" x14ac:dyDescent="0.3">
      <c r="A1222" s="251"/>
      <c r="B1222" s="90"/>
      <c r="C1222" s="107"/>
      <c r="D1222" s="122" t="s">
        <v>850</v>
      </c>
      <c r="E1222" s="107"/>
      <c r="F1222" s="351">
        <v>13.96</v>
      </c>
      <c r="G1222" s="352"/>
      <c r="H1222" s="352"/>
      <c r="I1222" s="353"/>
      <c r="J1222" s="76">
        <v>13.96</v>
      </c>
    </row>
    <row r="1223" spans="1:10" x14ac:dyDescent="0.3">
      <c r="A1223" s="247"/>
      <c r="B1223" s="73"/>
      <c r="C1223" s="107"/>
      <c r="D1223" s="122" t="s">
        <v>1052</v>
      </c>
      <c r="E1223" s="107"/>
      <c r="F1223" s="351">
        <v>0.8</v>
      </c>
      <c r="G1223" s="352"/>
      <c r="H1223" s="352"/>
      <c r="I1223" s="353"/>
      <c r="J1223" s="79">
        <v>-0.8</v>
      </c>
    </row>
    <row r="1224" spans="1:10" x14ac:dyDescent="0.3">
      <c r="A1224" s="258"/>
      <c r="B1224" s="73"/>
      <c r="C1224" s="107"/>
      <c r="D1224" s="122" t="s">
        <v>758</v>
      </c>
      <c r="E1224" s="107"/>
      <c r="F1224" s="351">
        <v>13.96</v>
      </c>
      <c r="G1224" s="352"/>
      <c r="H1224" s="352"/>
      <c r="I1224" s="353"/>
      <c r="J1224" s="76">
        <v>13.96</v>
      </c>
    </row>
    <row r="1225" spans="1:10" x14ac:dyDescent="0.3">
      <c r="A1225" s="258"/>
      <c r="B1225" s="73"/>
      <c r="C1225" s="107"/>
      <c r="D1225" s="122" t="s">
        <v>1052</v>
      </c>
      <c r="E1225" s="107"/>
      <c r="F1225" s="351">
        <v>0.8</v>
      </c>
      <c r="G1225" s="352"/>
      <c r="H1225" s="352"/>
      <c r="I1225" s="353"/>
      <c r="J1225" s="76">
        <v>-0.8</v>
      </c>
    </row>
    <row r="1226" spans="1:10" x14ac:dyDescent="0.3">
      <c r="A1226" s="251"/>
      <c r="B1226" s="90"/>
      <c r="C1226" s="107"/>
      <c r="D1226" s="122" t="s">
        <v>759</v>
      </c>
      <c r="E1226" s="107"/>
      <c r="F1226" s="351">
        <v>13.96</v>
      </c>
      <c r="G1226" s="352"/>
      <c r="H1226" s="352"/>
      <c r="I1226" s="353"/>
      <c r="J1226" s="76">
        <v>13.96</v>
      </c>
    </row>
    <row r="1227" spans="1:10" x14ac:dyDescent="0.3">
      <c r="A1227" s="247"/>
      <c r="B1227" s="73"/>
      <c r="C1227" s="107"/>
      <c r="D1227" s="122" t="s">
        <v>1052</v>
      </c>
      <c r="E1227" s="107"/>
      <c r="F1227" s="351">
        <v>0.8</v>
      </c>
      <c r="G1227" s="352"/>
      <c r="H1227" s="352"/>
      <c r="I1227" s="353"/>
      <c r="J1227" s="79">
        <v>-0.8</v>
      </c>
    </row>
    <row r="1228" spans="1:10" x14ac:dyDescent="0.3">
      <c r="A1228" s="258"/>
      <c r="B1228" s="73"/>
      <c r="C1228" s="107"/>
      <c r="D1228" s="122" t="s">
        <v>760</v>
      </c>
      <c r="E1228" s="107"/>
      <c r="F1228" s="351">
        <v>13.96</v>
      </c>
      <c r="G1228" s="352"/>
      <c r="H1228" s="352"/>
      <c r="I1228" s="353"/>
      <c r="J1228" s="76">
        <v>13.96</v>
      </c>
    </row>
    <row r="1229" spans="1:10" x14ac:dyDescent="0.3">
      <c r="A1229" s="258"/>
      <c r="B1229" s="73"/>
      <c r="C1229" s="107"/>
      <c r="D1229" s="122" t="s">
        <v>1052</v>
      </c>
      <c r="E1229" s="107"/>
      <c r="F1229" s="351">
        <v>0.8</v>
      </c>
      <c r="G1229" s="352"/>
      <c r="H1229" s="352"/>
      <c r="I1229" s="353"/>
      <c r="J1229" s="76">
        <v>-0.8</v>
      </c>
    </row>
    <row r="1230" spans="1:10" x14ac:dyDescent="0.3">
      <c r="A1230" s="251"/>
      <c r="B1230" s="90"/>
      <c r="C1230" s="107"/>
      <c r="D1230" s="122" t="s">
        <v>761</v>
      </c>
      <c r="E1230" s="107"/>
      <c r="F1230" s="351">
        <v>13.96</v>
      </c>
      <c r="G1230" s="352"/>
      <c r="H1230" s="352"/>
      <c r="I1230" s="353"/>
      <c r="J1230" s="76">
        <v>13.96</v>
      </c>
    </row>
    <row r="1231" spans="1:10" x14ac:dyDescent="0.3">
      <c r="A1231" s="247"/>
      <c r="B1231" s="73"/>
      <c r="C1231" s="107"/>
      <c r="D1231" s="122" t="s">
        <v>1052</v>
      </c>
      <c r="E1231" s="107"/>
      <c r="F1231" s="351">
        <v>0.8</v>
      </c>
      <c r="G1231" s="352"/>
      <c r="H1231" s="352"/>
      <c r="I1231" s="353"/>
      <c r="J1231" s="79">
        <v>-0.8</v>
      </c>
    </row>
    <row r="1232" spans="1:10" x14ac:dyDescent="0.3">
      <c r="A1232" s="258"/>
      <c r="B1232" s="73"/>
      <c r="C1232" s="107"/>
      <c r="D1232" s="122" t="s">
        <v>762</v>
      </c>
      <c r="E1232" s="107"/>
      <c r="F1232" s="351">
        <v>13.96</v>
      </c>
      <c r="G1232" s="352"/>
      <c r="H1232" s="352"/>
      <c r="I1232" s="353"/>
      <c r="J1232" s="76">
        <v>13.96</v>
      </c>
    </row>
    <row r="1233" spans="1:10" x14ac:dyDescent="0.3">
      <c r="A1233" s="258"/>
      <c r="B1233" s="73"/>
      <c r="C1233" s="107"/>
      <c r="D1233" s="122" t="s">
        <v>1052</v>
      </c>
      <c r="E1233" s="107"/>
      <c r="F1233" s="351">
        <v>0.8</v>
      </c>
      <c r="G1233" s="352"/>
      <c r="H1233" s="352"/>
      <c r="I1233" s="353"/>
      <c r="J1233" s="76">
        <v>-0.8</v>
      </c>
    </row>
    <row r="1234" spans="1:10" x14ac:dyDescent="0.3">
      <c r="A1234" s="251"/>
      <c r="B1234" s="90"/>
      <c r="C1234" s="107"/>
      <c r="D1234" s="122" t="s">
        <v>763</v>
      </c>
      <c r="E1234" s="107"/>
      <c r="F1234" s="351">
        <v>13.96</v>
      </c>
      <c r="G1234" s="352"/>
      <c r="H1234" s="352"/>
      <c r="I1234" s="353"/>
      <c r="J1234" s="76">
        <v>13.96</v>
      </c>
    </row>
    <row r="1235" spans="1:10" x14ac:dyDescent="0.3">
      <c r="A1235" s="247"/>
      <c r="B1235" s="73"/>
      <c r="C1235" s="107"/>
      <c r="D1235" s="122" t="s">
        <v>1052</v>
      </c>
      <c r="E1235" s="107"/>
      <c r="F1235" s="351">
        <v>0.8</v>
      </c>
      <c r="G1235" s="352"/>
      <c r="H1235" s="352"/>
      <c r="I1235" s="353"/>
      <c r="J1235" s="79">
        <v>-0.8</v>
      </c>
    </row>
    <row r="1236" spans="1:10" x14ac:dyDescent="0.3">
      <c r="A1236" s="258"/>
      <c r="B1236" s="73"/>
      <c r="C1236" s="107"/>
      <c r="D1236" s="122" t="s">
        <v>764</v>
      </c>
      <c r="E1236" s="107"/>
      <c r="F1236" s="351">
        <v>13.96</v>
      </c>
      <c r="G1236" s="352"/>
      <c r="H1236" s="352"/>
      <c r="I1236" s="353"/>
      <c r="J1236" s="76">
        <v>13.96</v>
      </c>
    </row>
    <row r="1237" spans="1:10" x14ac:dyDescent="0.3">
      <c r="A1237" s="258"/>
      <c r="B1237" s="73"/>
      <c r="C1237" s="107"/>
      <c r="D1237" s="122" t="s">
        <v>1052</v>
      </c>
      <c r="E1237" s="107"/>
      <c r="F1237" s="351">
        <v>0.8</v>
      </c>
      <c r="G1237" s="352"/>
      <c r="H1237" s="352"/>
      <c r="I1237" s="353"/>
      <c r="J1237" s="76">
        <v>-0.8</v>
      </c>
    </row>
    <row r="1238" spans="1:10" x14ac:dyDescent="0.3">
      <c r="A1238" s="258"/>
      <c r="B1238" s="73"/>
      <c r="C1238" s="107"/>
      <c r="D1238" s="122" t="s">
        <v>765</v>
      </c>
      <c r="E1238" s="107"/>
      <c r="F1238" s="351">
        <v>13.96</v>
      </c>
      <c r="G1238" s="352"/>
      <c r="H1238" s="352"/>
      <c r="I1238" s="353"/>
      <c r="J1238" s="76">
        <v>13.96</v>
      </c>
    </row>
    <row r="1239" spans="1:10" x14ac:dyDescent="0.3">
      <c r="A1239" s="251"/>
      <c r="B1239" s="90"/>
      <c r="C1239" s="107"/>
      <c r="D1239" s="122" t="s">
        <v>1052</v>
      </c>
      <c r="E1239" s="107"/>
      <c r="F1239" s="351">
        <v>0.8</v>
      </c>
      <c r="G1239" s="352"/>
      <c r="H1239" s="352"/>
      <c r="I1239" s="353"/>
      <c r="J1239" s="76">
        <v>-0.8</v>
      </c>
    </row>
    <row r="1240" spans="1:10" x14ac:dyDescent="0.3">
      <c r="A1240" s="247"/>
      <c r="B1240" s="73"/>
      <c r="C1240" s="107"/>
      <c r="D1240" s="122" t="s">
        <v>766</v>
      </c>
      <c r="E1240" s="107"/>
      <c r="F1240" s="351">
        <v>13.96</v>
      </c>
      <c r="G1240" s="352"/>
      <c r="H1240" s="352"/>
      <c r="I1240" s="353"/>
      <c r="J1240" s="79">
        <v>13.96</v>
      </c>
    </row>
    <row r="1241" spans="1:10" x14ac:dyDescent="0.3">
      <c r="A1241" s="258"/>
      <c r="B1241" s="73"/>
      <c r="C1241" s="107"/>
      <c r="D1241" s="122" t="s">
        <v>1052</v>
      </c>
      <c r="E1241" s="107"/>
      <c r="F1241" s="351">
        <v>0.8</v>
      </c>
      <c r="G1241" s="352"/>
      <c r="H1241" s="352"/>
      <c r="I1241" s="353"/>
      <c r="J1241" s="76">
        <v>-0.8</v>
      </c>
    </row>
    <row r="1242" spans="1:10" x14ac:dyDescent="0.3">
      <c r="A1242" s="258"/>
      <c r="B1242" s="73"/>
      <c r="C1242" s="107"/>
      <c r="D1242" s="122" t="s">
        <v>767</v>
      </c>
      <c r="E1242" s="107"/>
      <c r="F1242" s="351">
        <v>13.96</v>
      </c>
      <c r="G1242" s="352"/>
      <c r="H1242" s="352"/>
      <c r="I1242" s="353"/>
      <c r="J1242" s="76">
        <v>13.96</v>
      </c>
    </row>
    <row r="1243" spans="1:10" x14ac:dyDescent="0.3">
      <c r="A1243" s="251"/>
      <c r="B1243" s="90"/>
      <c r="C1243" s="107"/>
      <c r="D1243" s="122" t="s">
        <v>1052</v>
      </c>
      <c r="E1243" s="107"/>
      <c r="F1243" s="351">
        <v>0.8</v>
      </c>
      <c r="G1243" s="352"/>
      <c r="H1243" s="352"/>
      <c r="I1243" s="353"/>
      <c r="J1243" s="76">
        <v>-0.8</v>
      </c>
    </row>
    <row r="1244" spans="1:10" x14ac:dyDescent="0.3">
      <c r="A1244" s="247"/>
      <c r="B1244" s="73"/>
      <c r="C1244" s="107"/>
      <c r="D1244" s="122" t="s">
        <v>768</v>
      </c>
      <c r="E1244" s="107"/>
      <c r="F1244" s="351">
        <v>13.96</v>
      </c>
      <c r="G1244" s="352"/>
      <c r="H1244" s="352"/>
      <c r="I1244" s="353"/>
      <c r="J1244" s="79">
        <v>13.96</v>
      </c>
    </row>
    <row r="1245" spans="1:10" x14ac:dyDescent="0.3">
      <c r="A1245" s="258"/>
      <c r="B1245" s="73"/>
      <c r="C1245" s="107"/>
      <c r="D1245" s="122" t="s">
        <v>1052</v>
      </c>
      <c r="E1245" s="107"/>
      <c r="F1245" s="351">
        <v>0.8</v>
      </c>
      <c r="G1245" s="352"/>
      <c r="H1245" s="352"/>
      <c r="I1245" s="353"/>
      <c r="J1245" s="76">
        <v>-0.8</v>
      </c>
    </row>
    <row r="1246" spans="1:10" x14ac:dyDescent="0.3">
      <c r="A1246" s="258"/>
      <c r="B1246" s="73"/>
      <c r="C1246" s="107"/>
      <c r="D1246" s="122" t="s">
        <v>769</v>
      </c>
      <c r="E1246" s="107"/>
      <c r="F1246" s="351">
        <v>13.96</v>
      </c>
      <c r="G1246" s="352"/>
      <c r="H1246" s="352"/>
      <c r="I1246" s="353"/>
      <c r="J1246" s="76">
        <v>13.96</v>
      </c>
    </row>
    <row r="1247" spans="1:10" x14ac:dyDescent="0.3">
      <c r="A1247" s="251"/>
      <c r="B1247" s="90"/>
      <c r="C1247" s="107"/>
      <c r="D1247" s="122" t="s">
        <v>1052</v>
      </c>
      <c r="E1247" s="107"/>
      <c r="F1247" s="351">
        <v>0.8</v>
      </c>
      <c r="G1247" s="352"/>
      <c r="H1247" s="352"/>
      <c r="I1247" s="353"/>
      <c r="J1247" s="76">
        <v>-0.8</v>
      </c>
    </row>
    <row r="1248" spans="1:10" x14ac:dyDescent="0.3">
      <c r="A1248" s="247"/>
      <c r="B1248" s="73"/>
      <c r="C1248" s="107"/>
      <c r="D1248" s="122" t="s">
        <v>770</v>
      </c>
      <c r="E1248" s="107"/>
      <c r="F1248" s="351">
        <v>13.96</v>
      </c>
      <c r="G1248" s="352"/>
      <c r="H1248" s="352"/>
      <c r="I1248" s="353"/>
      <c r="J1248" s="79">
        <v>13.96</v>
      </c>
    </row>
    <row r="1249" spans="1:10" x14ac:dyDescent="0.3">
      <c r="A1249" s="258"/>
      <c r="B1249" s="73"/>
      <c r="C1249" s="107"/>
      <c r="D1249" s="122" t="s">
        <v>1052</v>
      </c>
      <c r="E1249" s="107"/>
      <c r="F1249" s="351">
        <v>0.8</v>
      </c>
      <c r="G1249" s="352"/>
      <c r="H1249" s="352"/>
      <c r="I1249" s="353"/>
      <c r="J1249" s="76">
        <v>-0.8</v>
      </c>
    </row>
    <row r="1250" spans="1:10" x14ac:dyDescent="0.3">
      <c r="A1250" s="258"/>
      <c r="B1250" s="73"/>
      <c r="C1250" s="107"/>
      <c r="D1250" s="122" t="s">
        <v>771</v>
      </c>
      <c r="E1250" s="107"/>
      <c r="F1250" s="351">
        <v>13.96</v>
      </c>
      <c r="G1250" s="352"/>
      <c r="H1250" s="352"/>
      <c r="I1250" s="353"/>
      <c r="J1250" s="76">
        <v>13.96</v>
      </c>
    </row>
    <row r="1251" spans="1:10" x14ac:dyDescent="0.3">
      <c r="A1251" s="251"/>
      <c r="B1251" s="90"/>
      <c r="C1251" s="107"/>
      <c r="D1251" s="122" t="s">
        <v>1052</v>
      </c>
      <c r="E1251" s="107"/>
      <c r="F1251" s="351">
        <v>0.8</v>
      </c>
      <c r="G1251" s="352"/>
      <c r="H1251" s="352"/>
      <c r="I1251" s="353"/>
      <c r="J1251" s="76">
        <v>-0.8</v>
      </c>
    </row>
    <row r="1252" spans="1:10" x14ac:dyDescent="0.3">
      <c r="A1252" s="258"/>
      <c r="B1252" s="73"/>
      <c r="C1252" s="107"/>
      <c r="D1252" s="122" t="s">
        <v>849</v>
      </c>
      <c r="E1252" s="107"/>
      <c r="F1252" s="351">
        <v>19.399999999999999</v>
      </c>
      <c r="G1252" s="352"/>
      <c r="H1252" s="352"/>
      <c r="I1252" s="353"/>
      <c r="J1252" s="76">
        <v>19.399999999999999</v>
      </c>
    </row>
    <row r="1253" spans="1:10" x14ac:dyDescent="0.3">
      <c r="A1253" s="258"/>
      <c r="B1253" s="73"/>
      <c r="C1253" s="107"/>
      <c r="D1253" s="122" t="s">
        <v>1052</v>
      </c>
      <c r="E1253" s="107"/>
      <c r="F1253" s="351">
        <v>1.6</v>
      </c>
      <c r="G1253" s="352"/>
      <c r="H1253" s="352"/>
      <c r="I1253" s="353"/>
      <c r="J1253" s="76">
        <v>-1.6</v>
      </c>
    </row>
    <row r="1254" spans="1:10" x14ac:dyDescent="0.3">
      <c r="A1254" s="258"/>
      <c r="B1254" s="73"/>
      <c r="C1254" s="107"/>
      <c r="D1254" s="122" t="s">
        <v>772</v>
      </c>
      <c r="E1254" s="107"/>
      <c r="F1254" s="351">
        <v>9.7200000000000006</v>
      </c>
      <c r="G1254" s="352"/>
      <c r="H1254" s="352"/>
      <c r="I1254" s="353"/>
      <c r="J1254" s="76">
        <v>9.7200000000000006</v>
      </c>
    </row>
    <row r="1255" spans="1:10" x14ac:dyDescent="0.3">
      <c r="A1255" s="251"/>
      <c r="B1255" s="90"/>
      <c r="C1255" s="107"/>
      <c r="D1255" s="122" t="s">
        <v>1052</v>
      </c>
      <c r="E1255" s="107"/>
      <c r="F1255" s="351">
        <v>1.6</v>
      </c>
      <c r="G1255" s="352"/>
      <c r="H1255" s="352"/>
      <c r="I1255" s="353"/>
      <c r="J1255" s="76">
        <v>-1.6</v>
      </c>
    </row>
    <row r="1256" spans="1:10" x14ac:dyDescent="0.3">
      <c r="A1256" s="247"/>
      <c r="B1256" s="73"/>
      <c r="C1256" s="107"/>
      <c r="D1256" s="122" t="s">
        <v>862</v>
      </c>
      <c r="E1256" s="107"/>
      <c r="F1256" s="351">
        <v>9.7200000000000006</v>
      </c>
      <c r="G1256" s="352"/>
      <c r="H1256" s="352"/>
      <c r="I1256" s="353"/>
      <c r="J1256" s="79">
        <v>9.7200000000000006</v>
      </c>
    </row>
    <row r="1257" spans="1:10" x14ac:dyDescent="0.3">
      <c r="A1257" s="258"/>
      <c r="B1257" s="73"/>
      <c r="C1257" s="107"/>
      <c r="D1257" s="122" t="s">
        <v>1052</v>
      </c>
      <c r="E1257" s="107"/>
      <c r="F1257" s="351">
        <v>1.6</v>
      </c>
      <c r="G1257" s="352"/>
      <c r="H1257" s="352"/>
      <c r="I1257" s="353"/>
      <c r="J1257" s="76">
        <v>-1.6</v>
      </c>
    </row>
    <row r="1258" spans="1:10" x14ac:dyDescent="0.3">
      <c r="A1258" s="258"/>
      <c r="B1258" s="73"/>
      <c r="C1258" s="107"/>
      <c r="D1258" s="122" t="s">
        <v>1032</v>
      </c>
      <c r="E1258" s="107"/>
      <c r="F1258" s="351">
        <f>78.1-3.5</f>
        <v>74.599999999999994</v>
      </c>
      <c r="G1258" s="352"/>
      <c r="H1258" s="352"/>
      <c r="I1258" s="353"/>
      <c r="J1258" s="76">
        <v>74.599999999999994</v>
      </c>
    </row>
    <row r="1259" spans="1:10" x14ac:dyDescent="0.3">
      <c r="A1259" s="251"/>
      <c r="B1259" s="90"/>
      <c r="C1259" s="107"/>
      <c r="D1259" s="122" t="s">
        <v>1052</v>
      </c>
      <c r="E1259" s="107"/>
      <c r="F1259" s="351">
        <f>16+1+2+1*(0.8)</f>
        <v>19.8</v>
      </c>
      <c r="G1259" s="352"/>
      <c r="H1259" s="352"/>
      <c r="I1259" s="353"/>
      <c r="J1259" s="76">
        <v>-19.8</v>
      </c>
    </row>
    <row r="1260" spans="1:10" x14ac:dyDescent="0.3">
      <c r="A1260" s="247"/>
      <c r="B1260" s="73"/>
      <c r="C1260" s="107"/>
      <c r="D1260" s="122" t="s">
        <v>1033</v>
      </c>
      <c r="E1260" s="107"/>
      <c r="F1260" s="351">
        <v>34.42</v>
      </c>
      <c r="G1260" s="352"/>
      <c r="H1260" s="352"/>
      <c r="I1260" s="353"/>
      <c r="J1260" s="79">
        <v>34.42</v>
      </c>
    </row>
    <row r="1261" spans="1:10" x14ac:dyDescent="0.3">
      <c r="A1261" s="258"/>
      <c r="B1261" s="73"/>
      <c r="C1261" s="107"/>
      <c r="D1261" s="122" t="s">
        <v>1052</v>
      </c>
      <c r="E1261" s="107"/>
      <c r="F1261" s="351">
        <f>(2*0.8)+1</f>
        <v>2.6</v>
      </c>
      <c r="G1261" s="352"/>
      <c r="H1261" s="352"/>
      <c r="I1261" s="353"/>
      <c r="J1261" s="76">
        <v>-2.6</v>
      </c>
    </row>
    <row r="1262" spans="1:10" x14ac:dyDescent="0.3">
      <c r="A1262" s="258"/>
      <c r="B1262" s="73"/>
      <c r="C1262" s="107"/>
      <c r="D1262" s="122" t="s">
        <v>1034</v>
      </c>
      <c r="E1262" s="107"/>
      <c r="F1262" s="351">
        <v>13.7</v>
      </c>
      <c r="G1262" s="352"/>
      <c r="H1262" s="352"/>
      <c r="I1262" s="353"/>
      <c r="J1262" s="76">
        <v>13.7</v>
      </c>
    </row>
    <row r="1263" spans="1:10" x14ac:dyDescent="0.3">
      <c r="A1263" s="251"/>
      <c r="B1263" s="90"/>
      <c r="C1263" s="107"/>
      <c r="D1263" s="122" t="s">
        <v>1052</v>
      </c>
      <c r="E1263" s="107"/>
      <c r="F1263" s="351">
        <v>0.8</v>
      </c>
      <c r="G1263" s="352"/>
      <c r="H1263" s="352"/>
      <c r="I1263" s="353"/>
      <c r="J1263" s="76">
        <v>-0.8</v>
      </c>
    </row>
    <row r="1264" spans="1:10" x14ac:dyDescent="0.3">
      <c r="A1264" s="247"/>
      <c r="B1264" s="73"/>
      <c r="C1264" s="107"/>
      <c r="D1264" s="122" t="s">
        <v>1035</v>
      </c>
      <c r="E1264" s="107"/>
      <c r="F1264" s="351">
        <v>13.7</v>
      </c>
      <c r="G1264" s="352"/>
      <c r="H1264" s="352"/>
      <c r="I1264" s="353"/>
      <c r="J1264" s="79">
        <v>13.7</v>
      </c>
    </row>
    <row r="1265" spans="1:10" x14ac:dyDescent="0.3">
      <c r="A1265" s="258"/>
      <c r="B1265" s="73"/>
      <c r="C1265" s="107"/>
      <c r="D1265" s="122" t="s">
        <v>1052</v>
      </c>
      <c r="E1265" s="107"/>
      <c r="F1265" s="351">
        <v>0.8</v>
      </c>
      <c r="G1265" s="352"/>
      <c r="H1265" s="352"/>
      <c r="I1265" s="353"/>
      <c r="J1265" s="76">
        <v>-0.8</v>
      </c>
    </row>
    <row r="1266" spans="1:10" x14ac:dyDescent="0.3">
      <c r="A1266" s="258"/>
      <c r="B1266" s="73"/>
      <c r="C1266" s="107"/>
      <c r="D1266" s="122" t="s">
        <v>1036</v>
      </c>
      <c r="E1266" s="107"/>
      <c r="F1266" s="351">
        <v>13.7</v>
      </c>
      <c r="G1266" s="352"/>
      <c r="H1266" s="352"/>
      <c r="I1266" s="353"/>
      <c r="J1266" s="76">
        <v>13.7</v>
      </c>
    </row>
    <row r="1267" spans="1:10" x14ac:dyDescent="0.3">
      <c r="A1267" s="251"/>
      <c r="B1267" s="90"/>
      <c r="C1267" s="107"/>
      <c r="D1267" s="122" t="s">
        <v>1052</v>
      </c>
      <c r="E1267" s="107"/>
      <c r="F1267" s="351">
        <v>1.6</v>
      </c>
      <c r="G1267" s="352"/>
      <c r="H1267" s="352"/>
      <c r="I1267" s="353"/>
      <c r="J1267" s="76">
        <v>-1.6</v>
      </c>
    </row>
    <row r="1268" spans="1:10" x14ac:dyDescent="0.3">
      <c r="A1268" s="247"/>
      <c r="B1268" s="73"/>
      <c r="C1268" s="107"/>
      <c r="D1268" s="122" t="s">
        <v>1037</v>
      </c>
      <c r="E1268" s="107"/>
      <c r="F1268" s="351">
        <f>2+0.3+0.55+3.8+3.65+3.35+3.6+3</f>
        <v>20.25</v>
      </c>
      <c r="G1268" s="352"/>
      <c r="H1268" s="352"/>
      <c r="I1268" s="353"/>
      <c r="J1268" s="79">
        <v>20.25</v>
      </c>
    </row>
    <row r="1269" spans="1:10" x14ac:dyDescent="0.3">
      <c r="A1269" s="258"/>
      <c r="B1269" s="73"/>
      <c r="C1269" s="107"/>
      <c r="D1269" s="122" t="s">
        <v>1052</v>
      </c>
      <c r="E1269" s="107"/>
      <c r="F1269" s="351">
        <f>-J1269</f>
        <v>3</v>
      </c>
      <c r="G1269" s="352"/>
      <c r="H1269" s="352"/>
      <c r="I1269" s="353"/>
      <c r="J1269" s="76">
        <v>-3</v>
      </c>
    </row>
    <row r="1270" spans="1:10" x14ac:dyDescent="0.3">
      <c r="A1270" s="258"/>
      <c r="B1270" s="73"/>
      <c r="C1270" s="107"/>
      <c r="D1270" s="122" t="s">
        <v>1038</v>
      </c>
      <c r="E1270" s="107"/>
      <c r="F1270" s="351">
        <f>J1270</f>
        <v>15.05</v>
      </c>
      <c r="G1270" s="352"/>
      <c r="H1270" s="352"/>
      <c r="I1270" s="353"/>
      <c r="J1270" s="76">
        <v>15.05</v>
      </c>
    </row>
    <row r="1271" spans="1:10" x14ac:dyDescent="0.3">
      <c r="A1271" s="251"/>
      <c r="B1271" s="90"/>
      <c r="C1271" s="107"/>
      <c r="D1271" s="122" t="s">
        <v>1052</v>
      </c>
      <c r="E1271" s="107"/>
      <c r="F1271" s="351">
        <f t="shared" ref="F1271:F1297" si="15">-J1271</f>
        <v>2.4000000000000004</v>
      </c>
      <c r="G1271" s="352"/>
      <c r="H1271" s="352"/>
      <c r="I1271" s="353"/>
      <c r="J1271" s="76">
        <v>-2.4000000000000004</v>
      </c>
    </row>
    <row r="1272" spans="1:10" x14ac:dyDescent="0.3">
      <c r="A1272" s="247"/>
      <c r="B1272" s="73"/>
      <c r="C1272" s="107"/>
      <c r="D1272" s="122" t="s">
        <v>786</v>
      </c>
      <c r="E1272" s="107"/>
      <c r="F1272" s="351">
        <f>J1272</f>
        <v>12.84</v>
      </c>
      <c r="G1272" s="352"/>
      <c r="H1272" s="352"/>
      <c r="I1272" s="353"/>
      <c r="J1272" s="79">
        <v>12.84</v>
      </c>
    </row>
    <row r="1273" spans="1:10" x14ac:dyDescent="0.3">
      <c r="A1273" s="258"/>
      <c r="B1273" s="73"/>
      <c r="C1273" s="107"/>
      <c r="D1273" s="122" t="s">
        <v>1052</v>
      </c>
      <c r="E1273" s="107"/>
      <c r="F1273" s="351">
        <f t="shared" si="15"/>
        <v>1.6</v>
      </c>
      <c r="G1273" s="352"/>
      <c r="H1273" s="352"/>
      <c r="I1273" s="353"/>
      <c r="J1273" s="76">
        <v>-1.6</v>
      </c>
    </row>
    <row r="1274" spans="1:10" x14ac:dyDescent="0.3">
      <c r="A1274" s="258"/>
      <c r="B1274" s="73"/>
      <c r="C1274" s="107"/>
      <c r="D1274" s="122" t="s">
        <v>788</v>
      </c>
      <c r="E1274" s="107"/>
      <c r="F1274" s="351">
        <f>J1274</f>
        <v>12.84</v>
      </c>
      <c r="G1274" s="352"/>
      <c r="H1274" s="352"/>
      <c r="I1274" s="353"/>
      <c r="J1274" s="76">
        <v>12.84</v>
      </c>
    </row>
    <row r="1275" spans="1:10" x14ac:dyDescent="0.3">
      <c r="A1275" s="251"/>
      <c r="B1275" s="90"/>
      <c r="C1275" s="107"/>
      <c r="D1275" s="122" t="s">
        <v>1052</v>
      </c>
      <c r="E1275" s="107"/>
      <c r="F1275" s="351">
        <f t="shared" si="15"/>
        <v>1.6</v>
      </c>
      <c r="G1275" s="352"/>
      <c r="H1275" s="352"/>
      <c r="I1275" s="353"/>
      <c r="J1275" s="76">
        <v>-1.6</v>
      </c>
    </row>
    <row r="1276" spans="1:10" x14ac:dyDescent="0.3">
      <c r="A1276" s="247"/>
      <c r="B1276" s="73"/>
      <c r="C1276" s="107"/>
      <c r="D1276" s="122" t="s">
        <v>1039</v>
      </c>
      <c r="E1276" s="107"/>
      <c r="F1276" s="351">
        <f>J1276</f>
        <v>27.26</v>
      </c>
      <c r="G1276" s="352"/>
      <c r="H1276" s="352"/>
      <c r="I1276" s="353"/>
      <c r="J1276" s="79">
        <v>27.26</v>
      </c>
    </row>
    <row r="1277" spans="1:10" x14ac:dyDescent="0.3">
      <c r="A1277" s="258"/>
      <c r="B1277" s="73"/>
      <c r="C1277" s="107"/>
      <c r="D1277" s="122" t="s">
        <v>1052</v>
      </c>
      <c r="E1277" s="107"/>
      <c r="F1277" s="351">
        <f t="shared" si="15"/>
        <v>1</v>
      </c>
      <c r="G1277" s="352"/>
      <c r="H1277" s="352"/>
      <c r="I1277" s="353"/>
      <c r="J1277" s="76">
        <v>-1</v>
      </c>
    </row>
    <row r="1278" spans="1:10" x14ac:dyDescent="0.3">
      <c r="A1278" s="258"/>
      <c r="B1278" s="73"/>
      <c r="C1278" s="107"/>
      <c r="D1278" s="122" t="s">
        <v>847</v>
      </c>
      <c r="E1278" s="107"/>
      <c r="F1278" s="351">
        <f>J1278</f>
        <v>26.03</v>
      </c>
      <c r="G1278" s="352"/>
      <c r="H1278" s="352"/>
      <c r="I1278" s="353"/>
      <c r="J1278" s="76">
        <v>26.03</v>
      </c>
    </row>
    <row r="1279" spans="1:10" x14ac:dyDescent="0.3">
      <c r="A1279" s="251"/>
      <c r="B1279" s="90"/>
      <c r="C1279" s="107"/>
      <c r="D1279" s="122" t="s">
        <v>1052</v>
      </c>
      <c r="E1279" s="107"/>
      <c r="F1279" s="351">
        <f t="shared" si="15"/>
        <v>0.8</v>
      </c>
      <c r="G1279" s="352"/>
      <c r="H1279" s="352"/>
      <c r="I1279" s="353"/>
      <c r="J1279" s="76">
        <v>-0.8</v>
      </c>
    </row>
    <row r="1280" spans="1:10" x14ac:dyDescent="0.3">
      <c r="A1280" s="247"/>
      <c r="B1280" s="73"/>
      <c r="C1280" s="107"/>
      <c r="D1280" s="122" t="s">
        <v>791</v>
      </c>
      <c r="E1280" s="107"/>
      <c r="F1280" s="351">
        <f>J1280</f>
        <v>12.9</v>
      </c>
      <c r="G1280" s="352"/>
      <c r="H1280" s="352"/>
      <c r="I1280" s="353"/>
      <c r="J1280" s="79">
        <v>12.9</v>
      </c>
    </row>
    <row r="1281" spans="1:10" x14ac:dyDescent="0.3">
      <c r="A1281" s="258"/>
      <c r="B1281" s="73"/>
      <c r="C1281" s="107"/>
      <c r="D1281" s="122" t="s">
        <v>1052</v>
      </c>
      <c r="E1281" s="107"/>
      <c r="F1281" s="351">
        <f t="shared" si="15"/>
        <v>0.8</v>
      </c>
      <c r="G1281" s="352"/>
      <c r="H1281" s="352"/>
      <c r="I1281" s="353"/>
      <c r="J1281" s="76">
        <v>-0.8</v>
      </c>
    </row>
    <row r="1282" spans="1:10" x14ac:dyDescent="0.3">
      <c r="A1282" s="258"/>
      <c r="B1282" s="73"/>
      <c r="C1282" s="107"/>
      <c r="D1282" s="122" t="s">
        <v>845</v>
      </c>
      <c r="E1282" s="107"/>
      <c r="F1282" s="351">
        <f>J1282</f>
        <v>12.9</v>
      </c>
      <c r="G1282" s="352"/>
      <c r="H1282" s="352"/>
      <c r="I1282" s="353"/>
      <c r="J1282" s="76">
        <v>12.9</v>
      </c>
    </row>
    <row r="1283" spans="1:10" x14ac:dyDescent="0.3">
      <c r="A1283" s="251"/>
      <c r="B1283" s="90"/>
      <c r="C1283" s="107"/>
      <c r="D1283" s="122" t="s">
        <v>1052</v>
      </c>
      <c r="E1283" s="107"/>
      <c r="F1283" s="351">
        <f t="shared" si="15"/>
        <v>0.8</v>
      </c>
      <c r="G1283" s="352"/>
      <c r="H1283" s="352"/>
      <c r="I1283" s="353"/>
      <c r="J1283" s="76">
        <v>-0.8</v>
      </c>
    </row>
    <row r="1284" spans="1:10" x14ac:dyDescent="0.3">
      <c r="A1284" s="247"/>
      <c r="B1284" s="73"/>
      <c r="C1284" s="107"/>
      <c r="D1284" s="122" t="s">
        <v>1040</v>
      </c>
      <c r="E1284" s="107"/>
      <c r="F1284" s="351">
        <f>J1284</f>
        <v>12.9</v>
      </c>
      <c r="G1284" s="352"/>
      <c r="H1284" s="352"/>
      <c r="I1284" s="353"/>
      <c r="J1284" s="79">
        <v>12.9</v>
      </c>
    </row>
    <row r="1285" spans="1:10" x14ac:dyDescent="0.3">
      <c r="A1285" s="258"/>
      <c r="B1285" s="73"/>
      <c r="C1285" s="107"/>
      <c r="D1285" s="122" t="s">
        <v>1052</v>
      </c>
      <c r="E1285" s="107"/>
      <c r="F1285" s="351">
        <f t="shared" si="15"/>
        <v>0.8</v>
      </c>
      <c r="G1285" s="352"/>
      <c r="H1285" s="352"/>
      <c r="I1285" s="353"/>
      <c r="J1285" s="76">
        <v>-0.8</v>
      </c>
    </row>
    <row r="1286" spans="1:10" x14ac:dyDescent="0.3">
      <c r="A1286" s="258"/>
      <c r="B1286" s="73"/>
      <c r="C1286" s="107"/>
      <c r="D1286" s="122" t="s">
        <v>794</v>
      </c>
      <c r="E1286" s="107"/>
      <c r="F1286" s="351">
        <f>J1286</f>
        <v>12.9</v>
      </c>
      <c r="G1286" s="352"/>
      <c r="H1286" s="352"/>
      <c r="I1286" s="353"/>
      <c r="J1286" s="76">
        <v>12.9</v>
      </c>
    </row>
    <row r="1287" spans="1:10" x14ac:dyDescent="0.3">
      <c r="A1287" s="251"/>
      <c r="B1287" s="90"/>
      <c r="C1287" s="107"/>
      <c r="D1287" s="122" t="s">
        <v>1052</v>
      </c>
      <c r="E1287" s="107"/>
      <c r="F1287" s="351">
        <f t="shared" si="15"/>
        <v>0.8</v>
      </c>
      <c r="G1287" s="352"/>
      <c r="H1287" s="352"/>
      <c r="I1287" s="353"/>
      <c r="J1287" s="76">
        <v>-0.8</v>
      </c>
    </row>
    <row r="1288" spans="1:10" x14ac:dyDescent="0.3">
      <c r="A1288" s="247"/>
      <c r="B1288" s="73"/>
      <c r="C1288" s="107"/>
      <c r="D1288" s="122" t="s">
        <v>1041</v>
      </c>
      <c r="E1288" s="107"/>
      <c r="F1288" s="351">
        <f>J1288</f>
        <v>40.199999999999996</v>
      </c>
      <c r="G1288" s="352"/>
      <c r="H1288" s="352"/>
      <c r="I1288" s="353"/>
      <c r="J1288" s="79">
        <v>40.199999999999996</v>
      </c>
    </row>
    <row r="1289" spans="1:10" x14ac:dyDescent="0.3">
      <c r="A1289" s="258"/>
      <c r="B1289" s="73"/>
      <c r="C1289" s="107"/>
      <c r="D1289" s="122" t="s">
        <v>1052</v>
      </c>
      <c r="E1289" s="107"/>
      <c r="F1289" s="351">
        <f t="shared" si="15"/>
        <v>9</v>
      </c>
      <c r="G1289" s="352"/>
      <c r="H1289" s="352"/>
      <c r="I1289" s="353"/>
      <c r="J1289" s="76">
        <v>-9</v>
      </c>
    </row>
    <row r="1290" spans="1:10" x14ac:dyDescent="0.3">
      <c r="A1290" s="258"/>
      <c r="B1290" s="73"/>
      <c r="C1290" s="107"/>
      <c r="D1290" s="122" t="s">
        <v>1042</v>
      </c>
      <c r="E1290" s="107"/>
      <c r="F1290" s="351">
        <f>J1290</f>
        <v>13.55</v>
      </c>
      <c r="G1290" s="352"/>
      <c r="H1290" s="352"/>
      <c r="I1290" s="353"/>
      <c r="J1290" s="76">
        <v>13.55</v>
      </c>
    </row>
    <row r="1291" spans="1:10" x14ac:dyDescent="0.3">
      <c r="A1291" s="251"/>
      <c r="B1291" s="90"/>
      <c r="C1291" s="107"/>
      <c r="D1291" s="122" t="s">
        <v>1052</v>
      </c>
      <c r="E1291" s="107"/>
      <c r="F1291" s="351">
        <f t="shared" si="15"/>
        <v>0.8</v>
      </c>
      <c r="G1291" s="352"/>
      <c r="H1291" s="352"/>
      <c r="I1291" s="353"/>
      <c r="J1291" s="76">
        <v>-0.8</v>
      </c>
    </row>
    <row r="1292" spans="1:10" x14ac:dyDescent="0.3">
      <c r="A1292" s="247"/>
      <c r="B1292" s="73"/>
      <c r="C1292" s="107"/>
      <c r="D1292" s="122" t="s">
        <v>1043</v>
      </c>
      <c r="E1292" s="107"/>
      <c r="F1292" s="351">
        <f>J1292</f>
        <v>13.55</v>
      </c>
      <c r="G1292" s="352"/>
      <c r="H1292" s="352"/>
      <c r="I1292" s="353"/>
      <c r="J1292" s="79">
        <v>13.55</v>
      </c>
    </row>
    <row r="1293" spans="1:10" x14ac:dyDescent="0.3">
      <c r="A1293" s="258"/>
      <c r="B1293" s="73"/>
      <c r="C1293" s="107"/>
      <c r="D1293" s="122" t="s">
        <v>1052</v>
      </c>
      <c r="E1293" s="107"/>
      <c r="F1293" s="351">
        <f t="shared" si="15"/>
        <v>0.8</v>
      </c>
      <c r="G1293" s="352"/>
      <c r="H1293" s="352"/>
      <c r="I1293" s="353"/>
      <c r="J1293" s="76">
        <v>-0.8</v>
      </c>
    </row>
    <row r="1294" spans="1:10" x14ac:dyDescent="0.3">
      <c r="A1294" s="258"/>
      <c r="B1294" s="73"/>
      <c r="C1294" s="107"/>
      <c r="D1294" s="122" t="s">
        <v>1044</v>
      </c>
      <c r="E1294" s="107"/>
      <c r="F1294" s="351">
        <f>J1294</f>
        <v>13.55</v>
      </c>
      <c r="G1294" s="352"/>
      <c r="H1294" s="352"/>
      <c r="I1294" s="353"/>
      <c r="J1294" s="76">
        <v>13.55</v>
      </c>
    </row>
    <row r="1295" spans="1:10" x14ac:dyDescent="0.3">
      <c r="A1295" s="251"/>
      <c r="B1295" s="90"/>
      <c r="C1295" s="107"/>
      <c r="D1295" s="122" t="s">
        <v>1052</v>
      </c>
      <c r="E1295" s="107"/>
      <c r="F1295" s="351">
        <f t="shared" si="15"/>
        <v>0.8</v>
      </c>
      <c r="G1295" s="352"/>
      <c r="H1295" s="352"/>
      <c r="I1295" s="353"/>
      <c r="J1295" s="76">
        <v>-0.8</v>
      </c>
    </row>
    <row r="1296" spans="1:10" x14ac:dyDescent="0.3">
      <c r="A1296" s="247"/>
      <c r="B1296" s="73"/>
      <c r="C1296" s="107"/>
      <c r="D1296" s="122" t="s">
        <v>1045</v>
      </c>
      <c r="E1296" s="107"/>
      <c r="F1296" s="351">
        <f>J1296</f>
        <v>13.55</v>
      </c>
      <c r="G1296" s="352"/>
      <c r="H1296" s="352"/>
      <c r="I1296" s="353"/>
      <c r="J1296" s="79">
        <v>13.55</v>
      </c>
    </row>
    <row r="1297" spans="1:10" x14ac:dyDescent="0.3">
      <c r="A1297" s="258"/>
      <c r="B1297" s="73"/>
      <c r="C1297" s="107"/>
      <c r="D1297" s="122" t="s">
        <v>1052</v>
      </c>
      <c r="E1297" s="107"/>
      <c r="F1297" s="351">
        <f t="shared" si="15"/>
        <v>0.8</v>
      </c>
      <c r="G1297" s="352"/>
      <c r="H1297" s="352"/>
      <c r="I1297" s="353"/>
      <c r="J1297" s="76">
        <v>-0.8</v>
      </c>
    </row>
    <row r="1298" spans="1:10" x14ac:dyDescent="0.3">
      <c r="A1298" s="258"/>
      <c r="B1298" s="73"/>
      <c r="C1298" s="107"/>
      <c r="D1298" s="122" t="s">
        <v>1046</v>
      </c>
      <c r="E1298" s="107"/>
      <c r="F1298" s="351">
        <f>J1298</f>
        <v>13.55</v>
      </c>
      <c r="G1298" s="352"/>
      <c r="H1298" s="352"/>
      <c r="I1298" s="353"/>
      <c r="J1298" s="76">
        <v>13.55</v>
      </c>
    </row>
    <row r="1299" spans="1:10" x14ac:dyDescent="0.3">
      <c r="A1299" s="251"/>
      <c r="B1299" s="90"/>
      <c r="C1299" s="107"/>
      <c r="D1299" s="122" t="s">
        <v>1052</v>
      </c>
      <c r="E1299" s="107"/>
      <c r="F1299" s="351">
        <f>-J1299</f>
        <v>0.8</v>
      </c>
      <c r="G1299" s="352"/>
      <c r="H1299" s="352"/>
      <c r="I1299" s="353"/>
      <c r="J1299" s="76">
        <v>-0.8</v>
      </c>
    </row>
    <row r="1300" spans="1:10" x14ac:dyDescent="0.3">
      <c r="A1300" s="247"/>
      <c r="B1300" s="73"/>
      <c r="C1300" s="107"/>
      <c r="D1300" s="122" t="s">
        <v>1047</v>
      </c>
      <c r="E1300" s="107"/>
      <c r="F1300" s="351">
        <f>J1300</f>
        <v>13.55</v>
      </c>
      <c r="G1300" s="352"/>
      <c r="H1300" s="352"/>
      <c r="I1300" s="353"/>
      <c r="J1300" s="79">
        <v>13.55</v>
      </c>
    </row>
    <row r="1301" spans="1:10" x14ac:dyDescent="0.3">
      <c r="A1301" s="258"/>
      <c r="B1301" s="73"/>
      <c r="C1301" s="107"/>
      <c r="D1301" s="122" t="s">
        <v>1052</v>
      </c>
      <c r="E1301" s="107"/>
      <c r="F1301" s="351">
        <f>-J1301</f>
        <v>0.8</v>
      </c>
      <c r="G1301" s="352"/>
      <c r="H1301" s="352"/>
      <c r="I1301" s="353"/>
      <c r="J1301" s="76">
        <v>-0.8</v>
      </c>
    </row>
    <row r="1302" spans="1:10" x14ac:dyDescent="0.3">
      <c r="A1302" s="258"/>
      <c r="B1302" s="73"/>
      <c r="C1302" s="107"/>
      <c r="D1302" s="122" t="s">
        <v>1048</v>
      </c>
      <c r="E1302" s="107"/>
      <c r="F1302" s="351">
        <f>J1302</f>
        <v>13.55</v>
      </c>
      <c r="G1302" s="352"/>
      <c r="H1302" s="352"/>
      <c r="I1302" s="353"/>
      <c r="J1302" s="76">
        <v>13.55</v>
      </c>
    </row>
    <row r="1303" spans="1:10" x14ac:dyDescent="0.3">
      <c r="A1303" s="251"/>
      <c r="B1303" s="90"/>
      <c r="C1303" s="107"/>
      <c r="D1303" s="122" t="s">
        <v>1052</v>
      </c>
      <c r="E1303" s="107"/>
      <c r="F1303" s="351">
        <f>-J1303</f>
        <v>0.8</v>
      </c>
      <c r="G1303" s="352"/>
      <c r="H1303" s="352"/>
      <c r="I1303" s="353"/>
      <c r="J1303" s="76">
        <v>-0.8</v>
      </c>
    </row>
    <row r="1304" spans="1:10" x14ac:dyDescent="0.3">
      <c r="A1304" s="247"/>
      <c r="B1304" s="73"/>
      <c r="C1304" s="107"/>
      <c r="D1304" s="122" t="s">
        <v>795</v>
      </c>
      <c r="E1304" s="107"/>
      <c r="F1304" s="351">
        <f>J1304</f>
        <v>13.55</v>
      </c>
      <c r="G1304" s="352"/>
      <c r="H1304" s="352"/>
      <c r="I1304" s="353"/>
      <c r="J1304" s="79">
        <v>13.55</v>
      </c>
    </row>
    <row r="1305" spans="1:10" x14ac:dyDescent="0.3">
      <c r="A1305" s="258"/>
      <c r="B1305" s="73"/>
      <c r="C1305" s="107"/>
      <c r="D1305" s="122" t="s">
        <v>1052</v>
      </c>
      <c r="E1305" s="107"/>
      <c r="F1305" s="351">
        <f>-J1305</f>
        <v>1.6</v>
      </c>
      <c r="G1305" s="352"/>
      <c r="H1305" s="352"/>
      <c r="I1305" s="353"/>
      <c r="J1305" s="76">
        <v>-1.6</v>
      </c>
    </row>
    <row r="1306" spans="1:10" x14ac:dyDescent="0.3">
      <c r="A1306" s="258"/>
      <c r="B1306" s="73"/>
      <c r="C1306" s="107"/>
      <c r="D1306" s="122" t="s">
        <v>1049</v>
      </c>
      <c r="E1306" s="107"/>
      <c r="F1306" s="351">
        <f>J1306</f>
        <v>66.069999999999993</v>
      </c>
      <c r="G1306" s="352"/>
      <c r="H1306" s="352"/>
      <c r="I1306" s="353"/>
      <c r="J1306" s="76">
        <v>66.069999999999993</v>
      </c>
    </row>
    <row r="1307" spans="1:10" x14ac:dyDescent="0.3">
      <c r="A1307" s="251"/>
      <c r="B1307" s="90"/>
      <c r="C1307" s="107"/>
      <c r="D1307" s="122" t="s">
        <v>1052</v>
      </c>
      <c r="E1307" s="107"/>
      <c r="F1307" s="351">
        <f>-J1307</f>
        <v>10.7</v>
      </c>
      <c r="G1307" s="352"/>
      <c r="H1307" s="352"/>
      <c r="I1307" s="353"/>
      <c r="J1307" s="76">
        <v>-10.7</v>
      </c>
    </row>
    <row r="1308" spans="1:10" x14ac:dyDescent="0.3">
      <c r="A1308" s="247"/>
      <c r="B1308" s="73"/>
      <c r="C1308" s="107"/>
      <c r="D1308" s="122" t="s">
        <v>1050</v>
      </c>
      <c r="E1308" s="107"/>
      <c r="F1308" s="351">
        <f>J1308</f>
        <v>13.4</v>
      </c>
      <c r="G1308" s="352"/>
      <c r="H1308" s="352"/>
      <c r="I1308" s="353"/>
      <c r="J1308" s="79">
        <v>13.4</v>
      </c>
    </row>
    <row r="1309" spans="1:10" x14ac:dyDescent="0.3">
      <c r="A1309" s="258"/>
      <c r="B1309" s="73"/>
      <c r="C1309" s="107"/>
      <c r="D1309" s="122" t="s">
        <v>1052</v>
      </c>
      <c r="E1309" s="107"/>
      <c r="F1309" s="351">
        <f>-J1309</f>
        <v>1.6</v>
      </c>
      <c r="G1309" s="352"/>
      <c r="H1309" s="352"/>
      <c r="I1309" s="353"/>
      <c r="J1309" s="76">
        <v>-1.6</v>
      </c>
    </row>
    <row r="1310" spans="1:10" x14ac:dyDescent="0.3">
      <c r="A1310" s="258"/>
      <c r="B1310" s="73"/>
      <c r="C1310" s="107"/>
      <c r="D1310" s="122" t="s">
        <v>807</v>
      </c>
      <c r="E1310" s="107"/>
      <c r="F1310" s="351">
        <f>J1310</f>
        <v>11.3</v>
      </c>
      <c r="G1310" s="352"/>
      <c r="H1310" s="352"/>
      <c r="I1310" s="353"/>
      <c r="J1310" s="76">
        <v>11.3</v>
      </c>
    </row>
    <row r="1311" spans="1:10" x14ac:dyDescent="0.3">
      <c r="A1311" s="251"/>
      <c r="B1311" s="90"/>
      <c r="C1311" s="107"/>
      <c r="D1311" s="122" t="s">
        <v>1052</v>
      </c>
      <c r="E1311" s="107"/>
      <c r="F1311" s="351">
        <f>-J1311</f>
        <v>1.6</v>
      </c>
      <c r="G1311" s="352"/>
      <c r="H1311" s="352"/>
      <c r="I1311" s="353"/>
      <c r="J1311" s="76">
        <v>-1.6</v>
      </c>
    </row>
    <row r="1312" spans="1:10" x14ac:dyDescent="0.3">
      <c r="A1312" s="247"/>
      <c r="B1312" s="73"/>
      <c r="C1312" s="107"/>
      <c r="D1312" s="122" t="s">
        <v>96</v>
      </c>
      <c r="E1312" s="107"/>
      <c r="F1312" s="351">
        <f>J1312</f>
        <v>81.66</v>
      </c>
      <c r="G1312" s="352"/>
      <c r="H1312" s="352"/>
      <c r="I1312" s="353"/>
      <c r="J1312" s="79">
        <v>81.66</v>
      </c>
    </row>
    <row r="1313" spans="1:10" x14ac:dyDescent="0.3">
      <c r="A1313" s="258"/>
      <c r="B1313" s="73"/>
      <c r="C1313" s="107"/>
      <c r="D1313" s="122" t="s">
        <v>1052</v>
      </c>
      <c r="E1313" s="107"/>
      <c r="F1313" s="351">
        <f>-J1313</f>
        <v>6.6</v>
      </c>
      <c r="G1313" s="352"/>
      <c r="H1313" s="352"/>
      <c r="I1313" s="353"/>
      <c r="J1313" s="76">
        <v>-6.6</v>
      </c>
    </row>
    <row r="1314" spans="1:10" ht="15" thickBot="1" x14ac:dyDescent="0.35">
      <c r="A1314" s="364" t="s">
        <v>64</v>
      </c>
      <c r="B1314" s="365"/>
      <c r="C1314" s="365"/>
      <c r="D1314" s="365"/>
      <c r="E1314" s="365"/>
      <c r="F1314" s="365"/>
      <c r="G1314" s="365"/>
      <c r="H1314" s="365"/>
      <c r="I1314" s="366"/>
      <c r="J1314" s="275">
        <f>SUM(J1220:J1313)</f>
        <v>805.71999999999946</v>
      </c>
    </row>
    <row r="1315" spans="1:10" ht="15" thickBot="1" x14ac:dyDescent="0.35">
      <c r="A1315" s="415" t="s">
        <v>56</v>
      </c>
      <c r="B1315" s="416"/>
      <c r="C1315" s="416"/>
      <c r="D1315" s="416"/>
      <c r="E1315" s="416"/>
      <c r="F1315" s="416"/>
      <c r="G1315" s="416"/>
      <c r="H1315" s="416"/>
      <c r="I1315" s="416"/>
      <c r="J1315" s="417"/>
    </row>
    <row r="1316" spans="1:10" x14ac:dyDescent="0.3">
      <c r="A1316" s="249">
        <v>20</v>
      </c>
      <c r="B1316" s="87" t="s">
        <v>10</v>
      </c>
      <c r="C1316" s="81">
        <v>230000</v>
      </c>
      <c r="D1316" s="262" t="s">
        <v>57</v>
      </c>
      <c r="E1316" s="95"/>
      <c r="F1316" s="231"/>
      <c r="G1316" s="231"/>
      <c r="H1316" s="95"/>
      <c r="I1316" s="95"/>
      <c r="J1316" s="96"/>
    </row>
    <row r="1317" spans="1:10" x14ac:dyDescent="0.3">
      <c r="A1317" s="247" t="str">
        <f>ORÇAMENTO!A445</f>
        <v>20.1</v>
      </c>
      <c r="B1317" s="73" t="str">
        <f>ORÇAMENTO!B445</f>
        <v>GOINFRA</v>
      </c>
      <c r="C1317" s="74">
        <f>ORÇAMENTO!C445</f>
        <v>230101</v>
      </c>
      <c r="D1317" s="75" t="str">
        <f>ORÇAMENTO!D445</f>
        <v xml:space="preserve">FECH.(ALAV.) LAFONTE 6236 E/8766- E17 IMAB OU EQUIV. </v>
      </c>
      <c r="E1317" s="74" t="str">
        <f>ORÇAMENTO!F445</f>
        <v>und.</v>
      </c>
      <c r="F1317" s="354" t="s">
        <v>89</v>
      </c>
      <c r="G1317" s="369"/>
      <c r="H1317" s="369"/>
      <c r="I1317" s="355"/>
      <c r="J1317" s="79" t="s">
        <v>86</v>
      </c>
    </row>
    <row r="1318" spans="1:10" x14ac:dyDescent="0.3">
      <c r="A1318" s="247"/>
      <c r="B1318" s="73"/>
      <c r="C1318" s="74"/>
      <c r="D1318" s="75" t="s">
        <v>946</v>
      </c>
      <c r="E1318" s="82"/>
      <c r="F1318" s="354">
        <v>55</v>
      </c>
      <c r="G1318" s="369"/>
      <c r="H1318" s="369"/>
      <c r="I1318" s="355"/>
      <c r="J1318" s="79">
        <f>F1318</f>
        <v>55</v>
      </c>
    </row>
    <row r="1319" spans="1:10" x14ac:dyDescent="0.3">
      <c r="A1319" s="247"/>
      <c r="B1319" s="73"/>
      <c r="C1319" s="74"/>
      <c r="D1319" s="75" t="s">
        <v>947</v>
      </c>
      <c r="E1319" s="82"/>
      <c r="F1319" s="354">
        <v>2</v>
      </c>
      <c r="G1319" s="369"/>
      <c r="H1319" s="369"/>
      <c r="I1319" s="355"/>
      <c r="J1319" s="79">
        <f>F1319</f>
        <v>2</v>
      </c>
    </row>
    <row r="1320" spans="1:10" ht="15" thickBot="1" x14ac:dyDescent="0.35">
      <c r="A1320" s="364" t="s">
        <v>64</v>
      </c>
      <c r="B1320" s="365"/>
      <c r="C1320" s="365"/>
      <c r="D1320" s="365"/>
      <c r="E1320" s="365"/>
      <c r="F1320" s="365"/>
      <c r="G1320" s="365"/>
      <c r="H1320" s="365"/>
      <c r="I1320" s="366"/>
      <c r="J1320" s="275">
        <f>SUM(J1318:J1319)</f>
        <v>57</v>
      </c>
    </row>
    <row r="1321" spans="1:10" x14ac:dyDescent="0.3">
      <c r="A1321" s="247" t="str">
        <f>ORÇAMENTO!A446</f>
        <v>20.2</v>
      </c>
      <c r="B1321" s="73" t="str">
        <f>ORÇAMENTO!B446</f>
        <v>GOINFRA</v>
      </c>
      <c r="C1321" s="74">
        <f>ORÇAMENTO!C446</f>
        <v>230174</v>
      </c>
      <c r="D1321" s="75" t="str">
        <f>ORÇAMENTO!D446</f>
        <v xml:space="preserve">BARRA DE APOIO EM AÇO INOX - 40 CM </v>
      </c>
      <c r="E1321" s="74" t="str">
        <f>ORÇAMENTO!F446</f>
        <v>und.</v>
      </c>
      <c r="F1321" s="371" t="s">
        <v>89</v>
      </c>
      <c r="G1321" s="372"/>
      <c r="H1321" s="372"/>
      <c r="I1321" s="373"/>
      <c r="J1321" s="79" t="s">
        <v>86</v>
      </c>
    </row>
    <row r="1322" spans="1:10" x14ac:dyDescent="0.3">
      <c r="A1322" s="247"/>
      <c r="B1322" s="73"/>
      <c r="C1322" s="74"/>
      <c r="D1322" s="75" t="s">
        <v>856</v>
      </c>
      <c r="E1322" s="107"/>
      <c r="F1322" s="351">
        <v>2</v>
      </c>
      <c r="G1322" s="352"/>
      <c r="H1322" s="352"/>
      <c r="I1322" s="353"/>
      <c r="J1322" s="79">
        <f>F1322</f>
        <v>2</v>
      </c>
    </row>
    <row r="1323" spans="1:10" x14ac:dyDescent="0.3">
      <c r="A1323" s="247"/>
      <c r="B1323" s="73"/>
      <c r="C1323" s="74"/>
      <c r="D1323" s="75" t="s">
        <v>857</v>
      </c>
      <c r="E1323" s="107"/>
      <c r="F1323" s="351">
        <v>2</v>
      </c>
      <c r="G1323" s="352"/>
      <c r="H1323" s="352"/>
      <c r="I1323" s="353"/>
      <c r="J1323" s="79">
        <f t="shared" ref="J1323:J1330" si="16">F1323</f>
        <v>2</v>
      </c>
    </row>
    <row r="1324" spans="1:10" x14ac:dyDescent="0.3">
      <c r="A1324" s="247"/>
      <c r="B1324" s="73"/>
      <c r="C1324" s="74"/>
      <c r="D1324" s="75" t="s">
        <v>865</v>
      </c>
      <c r="E1324" s="107"/>
      <c r="F1324" s="351">
        <v>2</v>
      </c>
      <c r="G1324" s="352"/>
      <c r="H1324" s="352"/>
      <c r="I1324" s="353"/>
      <c r="J1324" s="79">
        <f t="shared" si="16"/>
        <v>2</v>
      </c>
    </row>
    <row r="1325" spans="1:10" x14ac:dyDescent="0.3">
      <c r="A1325" s="247"/>
      <c r="B1325" s="73"/>
      <c r="C1325" s="74"/>
      <c r="D1325" s="75" t="s">
        <v>784</v>
      </c>
      <c r="E1325" s="107"/>
      <c r="F1325" s="351">
        <v>1</v>
      </c>
      <c r="G1325" s="352"/>
      <c r="H1325" s="352"/>
      <c r="I1325" s="353"/>
      <c r="J1325" s="79">
        <f t="shared" si="16"/>
        <v>1</v>
      </c>
    </row>
    <row r="1326" spans="1:10" x14ac:dyDescent="0.3">
      <c r="A1326" s="251"/>
      <c r="B1326" s="90"/>
      <c r="C1326" s="91"/>
      <c r="D1326" s="75" t="s">
        <v>785</v>
      </c>
      <c r="E1326" s="107"/>
      <c r="F1326" s="351">
        <v>1</v>
      </c>
      <c r="G1326" s="352"/>
      <c r="H1326" s="352"/>
      <c r="I1326" s="353"/>
      <c r="J1326" s="79">
        <f t="shared" si="16"/>
        <v>1</v>
      </c>
    </row>
    <row r="1327" spans="1:10" x14ac:dyDescent="0.3">
      <c r="A1327" s="247"/>
      <c r="B1327" s="73"/>
      <c r="C1327" s="74"/>
      <c r="D1327" s="75" t="s">
        <v>833</v>
      </c>
      <c r="E1327" s="107"/>
      <c r="F1327" s="351">
        <v>2</v>
      </c>
      <c r="G1327" s="352"/>
      <c r="H1327" s="352"/>
      <c r="I1327" s="353"/>
      <c r="J1327" s="79">
        <f t="shared" si="16"/>
        <v>2</v>
      </c>
    </row>
    <row r="1328" spans="1:10" x14ac:dyDescent="0.3">
      <c r="A1328" s="247"/>
      <c r="B1328" s="73"/>
      <c r="C1328" s="74"/>
      <c r="D1328" s="75" t="s">
        <v>860</v>
      </c>
      <c r="E1328" s="107"/>
      <c r="F1328" s="351">
        <v>2</v>
      </c>
      <c r="G1328" s="352"/>
      <c r="H1328" s="352"/>
      <c r="I1328" s="353"/>
      <c r="J1328" s="79">
        <f t="shared" si="16"/>
        <v>2</v>
      </c>
    </row>
    <row r="1329" spans="1:10" x14ac:dyDescent="0.3">
      <c r="A1329" s="247"/>
      <c r="B1329" s="73"/>
      <c r="C1329" s="74"/>
      <c r="D1329" s="75" t="s">
        <v>831</v>
      </c>
      <c r="E1329" s="118"/>
      <c r="F1329" s="351">
        <v>1</v>
      </c>
      <c r="G1329" s="352"/>
      <c r="H1329" s="352"/>
      <c r="I1329" s="353"/>
      <c r="J1329" s="79">
        <f t="shared" si="16"/>
        <v>1</v>
      </c>
    </row>
    <row r="1330" spans="1:10" x14ac:dyDescent="0.3">
      <c r="A1330" s="247"/>
      <c r="B1330" s="73"/>
      <c r="C1330" s="74"/>
      <c r="D1330" s="75" t="s">
        <v>830</v>
      </c>
      <c r="E1330" s="118"/>
      <c r="F1330" s="351">
        <v>1</v>
      </c>
      <c r="G1330" s="352"/>
      <c r="H1330" s="352"/>
      <c r="I1330" s="353"/>
      <c r="J1330" s="79">
        <f t="shared" si="16"/>
        <v>1</v>
      </c>
    </row>
    <row r="1331" spans="1:10" ht="15" thickBot="1" x14ac:dyDescent="0.35">
      <c r="A1331" s="364" t="s">
        <v>64</v>
      </c>
      <c r="B1331" s="365"/>
      <c r="C1331" s="365"/>
      <c r="D1331" s="365"/>
      <c r="E1331" s="365"/>
      <c r="F1331" s="365"/>
      <c r="G1331" s="365"/>
      <c r="H1331" s="365"/>
      <c r="I1331" s="366"/>
      <c r="J1331" s="275">
        <f>SUM(J1322:J1330)</f>
        <v>14</v>
      </c>
    </row>
    <row r="1332" spans="1:10" x14ac:dyDescent="0.3">
      <c r="A1332" s="247" t="str">
        <f>ORÇAMENTO!A447</f>
        <v>20.3</v>
      </c>
      <c r="B1332" s="73" t="str">
        <f>ORÇAMENTO!B447</f>
        <v>GOINFRA</v>
      </c>
      <c r="C1332" s="74">
        <f>ORÇAMENTO!C447</f>
        <v>230176</v>
      </c>
      <c r="D1332" s="75" t="str">
        <f>ORÇAMENTO!D447</f>
        <v xml:space="preserve">BARRA DE APOIO EM AÇO INOX - 80 CM </v>
      </c>
      <c r="E1332" s="74" t="str">
        <f>ORÇAMENTO!F447</f>
        <v>und.</v>
      </c>
      <c r="F1332" s="371" t="s">
        <v>89</v>
      </c>
      <c r="G1332" s="372"/>
      <c r="H1332" s="372"/>
      <c r="I1332" s="373"/>
      <c r="J1332" s="79" t="s">
        <v>86</v>
      </c>
    </row>
    <row r="1333" spans="1:10" x14ac:dyDescent="0.3">
      <c r="A1333" s="247"/>
      <c r="B1333" s="73"/>
      <c r="C1333" s="74"/>
      <c r="D1333" s="75" t="s">
        <v>856</v>
      </c>
      <c r="E1333" s="107"/>
      <c r="F1333" s="351">
        <v>2</v>
      </c>
      <c r="G1333" s="352"/>
      <c r="H1333" s="352"/>
      <c r="I1333" s="353"/>
      <c r="J1333" s="79">
        <f>F1333</f>
        <v>2</v>
      </c>
    </row>
    <row r="1334" spans="1:10" x14ac:dyDescent="0.3">
      <c r="A1334" s="247"/>
      <c r="B1334" s="73"/>
      <c r="C1334" s="74"/>
      <c r="D1334" s="75" t="s">
        <v>857</v>
      </c>
      <c r="E1334" s="107"/>
      <c r="F1334" s="351">
        <v>2</v>
      </c>
      <c r="G1334" s="352"/>
      <c r="H1334" s="352"/>
      <c r="I1334" s="353"/>
      <c r="J1334" s="79">
        <f t="shared" ref="J1334:J1341" si="17">F1334</f>
        <v>2</v>
      </c>
    </row>
    <row r="1335" spans="1:10" x14ac:dyDescent="0.3">
      <c r="A1335" s="247"/>
      <c r="B1335" s="73"/>
      <c r="C1335" s="74"/>
      <c r="D1335" s="75" t="s">
        <v>865</v>
      </c>
      <c r="E1335" s="107"/>
      <c r="F1335" s="351">
        <v>2</v>
      </c>
      <c r="G1335" s="352"/>
      <c r="H1335" s="352"/>
      <c r="I1335" s="353"/>
      <c r="J1335" s="79">
        <f t="shared" si="17"/>
        <v>2</v>
      </c>
    </row>
    <row r="1336" spans="1:10" x14ac:dyDescent="0.3">
      <c r="A1336" s="247"/>
      <c r="B1336" s="73"/>
      <c r="C1336" s="74"/>
      <c r="D1336" s="75" t="s">
        <v>784</v>
      </c>
      <c r="E1336" s="107"/>
      <c r="F1336" s="351">
        <v>1</v>
      </c>
      <c r="G1336" s="352"/>
      <c r="H1336" s="352"/>
      <c r="I1336" s="353"/>
      <c r="J1336" s="79">
        <f t="shared" si="17"/>
        <v>1</v>
      </c>
    </row>
    <row r="1337" spans="1:10" x14ac:dyDescent="0.3">
      <c r="A1337" s="247"/>
      <c r="B1337" s="73"/>
      <c r="C1337" s="74"/>
      <c r="D1337" s="75" t="s">
        <v>785</v>
      </c>
      <c r="E1337" s="107"/>
      <c r="F1337" s="351">
        <v>1</v>
      </c>
      <c r="G1337" s="352"/>
      <c r="H1337" s="352"/>
      <c r="I1337" s="353"/>
      <c r="J1337" s="79">
        <f t="shared" si="17"/>
        <v>1</v>
      </c>
    </row>
    <row r="1338" spans="1:10" x14ac:dyDescent="0.3">
      <c r="A1338" s="247"/>
      <c r="B1338" s="73"/>
      <c r="C1338" s="74"/>
      <c r="D1338" s="75" t="s">
        <v>833</v>
      </c>
      <c r="E1338" s="107"/>
      <c r="F1338" s="351">
        <v>2</v>
      </c>
      <c r="G1338" s="352"/>
      <c r="H1338" s="352"/>
      <c r="I1338" s="353"/>
      <c r="J1338" s="79">
        <f t="shared" si="17"/>
        <v>2</v>
      </c>
    </row>
    <row r="1339" spans="1:10" x14ac:dyDescent="0.3">
      <c r="A1339" s="247"/>
      <c r="B1339" s="73"/>
      <c r="C1339" s="74"/>
      <c r="D1339" s="75" t="s">
        <v>860</v>
      </c>
      <c r="E1339" s="107"/>
      <c r="F1339" s="351">
        <v>2</v>
      </c>
      <c r="G1339" s="352"/>
      <c r="H1339" s="352"/>
      <c r="I1339" s="353"/>
      <c r="J1339" s="79">
        <f t="shared" si="17"/>
        <v>2</v>
      </c>
    </row>
    <row r="1340" spans="1:10" x14ac:dyDescent="0.3">
      <c r="A1340" s="247"/>
      <c r="B1340" s="73"/>
      <c r="C1340" s="74"/>
      <c r="D1340" s="75" t="s">
        <v>831</v>
      </c>
      <c r="E1340" s="118"/>
      <c r="F1340" s="351">
        <v>1</v>
      </c>
      <c r="G1340" s="352"/>
      <c r="H1340" s="352"/>
      <c r="I1340" s="353"/>
      <c r="J1340" s="79">
        <f t="shared" si="17"/>
        <v>1</v>
      </c>
    </row>
    <row r="1341" spans="1:10" x14ac:dyDescent="0.3">
      <c r="A1341" s="247"/>
      <c r="B1341" s="73"/>
      <c r="C1341" s="74"/>
      <c r="D1341" s="75" t="s">
        <v>830</v>
      </c>
      <c r="E1341" s="118"/>
      <c r="F1341" s="351">
        <v>1</v>
      </c>
      <c r="G1341" s="352"/>
      <c r="H1341" s="352"/>
      <c r="I1341" s="353"/>
      <c r="J1341" s="79">
        <f t="shared" si="17"/>
        <v>1</v>
      </c>
    </row>
    <row r="1342" spans="1:10" ht="15" thickBot="1" x14ac:dyDescent="0.35">
      <c r="A1342" s="364" t="s">
        <v>64</v>
      </c>
      <c r="B1342" s="365"/>
      <c r="C1342" s="365"/>
      <c r="D1342" s="365"/>
      <c r="E1342" s="365"/>
      <c r="F1342" s="365"/>
      <c r="G1342" s="365"/>
      <c r="H1342" s="365"/>
      <c r="I1342" s="366"/>
      <c r="J1342" s="275">
        <f>SUM(J1333:J1341)</f>
        <v>14</v>
      </c>
    </row>
    <row r="1343" spans="1:10" x14ac:dyDescent="0.3">
      <c r="A1343" s="247" t="str">
        <f>ORÇAMENTO!A448</f>
        <v>20.4</v>
      </c>
      <c r="B1343" s="73" t="str">
        <f>ORÇAMENTO!B448</f>
        <v>GOINFRA</v>
      </c>
      <c r="C1343" s="74">
        <f>ORÇAMENTO!C448</f>
        <v>230201</v>
      </c>
      <c r="D1343" s="75" t="str">
        <f>ORÇAMENTO!D448</f>
        <v xml:space="preserve">DOBRADICA 3" x 3 1/2" FERRO POLIDO </v>
      </c>
      <c r="E1343" s="74" t="str">
        <f>ORÇAMENTO!F448</f>
        <v>und.</v>
      </c>
      <c r="F1343" s="371" t="s">
        <v>89</v>
      </c>
      <c r="G1343" s="372"/>
      <c r="H1343" s="372"/>
      <c r="I1343" s="373"/>
      <c r="J1343" s="79" t="s">
        <v>86</v>
      </c>
    </row>
    <row r="1344" spans="1:10" x14ac:dyDescent="0.3">
      <c r="A1344" s="247"/>
      <c r="B1344" s="73"/>
      <c r="C1344" s="74"/>
      <c r="D1344" s="75" t="s">
        <v>946</v>
      </c>
      <c r="E1344" s="107"/>
      <c r="F1344" s="351" t="s">
        <v>948</v>
      </c>
      <c r="G1344" s="352"/>
      <c r="H1344" s="352"/>
      <c r="I1344" s="353"/>
      <c r="J1344" s="79">
        <f>55*3</f>
        <v>165</v>
      </c>
    </row>
    <row r="1345" spans="1:10" x14ac:dyDescent="0.3">
      <c r="A1345" s="247"/>
      <c r="B1345" s="73"/>
      <c r="C1345" s="74"/>
      <c r="D1345" s="75" t="s">
        <v>947</v>
      </c>
      <c r="E1345" s="107"/>
      <c r="F1345" s="351" t="s">
        <v>949</v>
      </c>
      <c r="G1345" s="352"/>
      <c r="H1345" s="352"/>
      <c r="I1345" s="353"/>
      <c r="J1345" s="79">
        <f>2*3</f>
        <v>6</v>
      </c>
    </row>
    <row r="1346" spans="1:10" ht="15" thickBot="1" x14ac:dyDescent="0.35">
      <c r="A1346" s="364" t="s">
        <v>64</v>
      </c>
      <c r="B1346" s="365"/>
      <c r="C1346" s="365"/>
      <c r="D1346" s="365"/>
      <c r="E1346" s="365"/>
      <c r="F1346" s="365"/>
      <c r="G1346" s="365"/>
      <c r="H1346" s="365"/>
      <c r="I1346" s="366"/>
      <c r="J1346" s="275">
        <f>SUM(J1344:J1345)</f>
        <v>171</v>
      </c>
    </row>
    <row r="1347" spans="1:10" ht="15" thickBot="1" x14ac:dyDescent="0.35">
      <c r="A1347" s="429" t="s">
        <v>58</v>
      </c>
      <c r="B1347" s="430"/>
      <c r="C1347" s="430"/>
      <c r="D1347" s="430"/>
      <c r="E1347" s="430"/>
      <c r="F1347" s="430"/>
      <c r="G1347" s="430"/>
      <c r="H1347" s="430"/>
      <c r="I1347" s="430"/>
      <c r="J1347" s="431"/>
    </row>
    <row r="1348" spans="1:10" x14ac:dyDescent="0.3">
      <c r="A1348" s="249">
        <v>21</v>
      </c>
      <c r="B1348" s="87" t="s">
        <v>10</v>
      </c>
      <c r="C1348" s="81">
        <v>250000</v>
      </c>
      <c r="D1348" s="262" t="s">
        <v>59</v>
      </c>
      <c r="E1348" s="95"/>
      <c r="F1348" s="231"/>
      <c r="G1348" s="231"/>
      <c r="H1348" s="95"/>
      <c r="I1348" s="95"/>
      <c r="J1348" s="96"/>
    </row>
    <row r="1349" spans="1:10" x14ac:dyDescent="0.3">
      <c r="A1349" s="247" t="str">
        <f>ORÇAMENTO!A452</f>
        <v>21.1</v>
      </c>
      <c r="B1349" s="73" t="str">
        <f>ORÇAMENTO!B452</f>
        <v>GOINFRA</v>
      </c>
      <c r="C1349" s="74">
        <f>ORÇAMENTO!C452</f>
        <v>250101</v>
      </c>
      <c r="D1349" s="75" t="str">
        <f>ORÇAMENTO!D452</f>
        <v xml:space="preserve"> ENGENHEIRO - (OBRAS CIVIS) </v>
      </c>
      <c r="E1349" s="74" t="str">
        <f>ORÇAMENTO!F452</f>
        <v xml:space="preserve">H </v>
      </c>
      <c r="F1349" s="358" t="s">
        <v>92</v>
      </c>
      <c r="G1349" s="359"/>
      <c r="H1349" s="82" t="s">
        <v>970</v>
      </c>
      <c r="I1349" s="82" t="s">
        <v>971</v>
      </c>
      <c r="J1349" s="76" t="s">
        <v>86</v>
      </c>
    </row>
    <row r="1350" spans="1:10" x14ac:dyDescent="0.3">
      <c r="A1350" s="247"/>
      <c r="B1350" s="73"/>
      <c r="C1350" s="74"/>
      <c r="D1350" s="75"/>
      <c r="E1350" s="74"/>
      <c r="F1350" s="358">
        <v>12</v>
      </c>
      <c r="G1350" s="359"/>
      <c r="H1350" s="82">
        <v>20</v>
      </c>
      <c r="I1350" s="82">
        <v>4</v>
      </c>
      <c r="J1350" s="76">
        <f>I1350*H1350*F1350</f>
        <v>960</v>
      </c>
    </row>
    <row r="1351" spans="1:10" ht="15" thickBot="1" x14ac:dyDescent="0.35">
      <c r="A1351" s="364" t="s">
        <v>64</v>
      </c>
      <c r="B1351" s="365"/>
      <c r="C1351" s="365"/>
      <c r="D1351" s="365"/>
      <c r="E1351" s="365"/>
      <c r="F1351" s="365"/>
      <c r="G1351" s="365"/>
      <c r="H1351" s="365"/>
      <c r="I1351" s="366"/>
      <c r="J1351" s="275">
        <f>SUM(J1349:J1350)</f>
        <v>960</v>
      </c>
    </row>
    <row r="1352" spans="1:10" x14ac:dyDescent="0.3">
      <c r="A1352" s="247" t="str">
        <f>ORÇAMENTO!A453</f>
        <v>21.2</v>
      </c>
      <c r="B1352" s="73" t="str">
        <f>ORÇAMENTO!B453</f>
        <v>GOINFRA</v>
      </c>
      <c r="C1352" s="74">
        <f>ORÇAMENTO!C453</f>
        <v>250102</v>
      </c>
      <c r="D1352" s="75" t="str">
        <f>ORÇAMENTO!D453</f>
        <v xml:space="preserve">MESTRE DE OBRA - (OBRAS CIVIS) </v>
      </c>
      <c r="E1352" s="74" t="str">
        <f>ORÇAMENTO!F453</f>
        <v xml:space="preserve">H </v>
      </c>
      <c r="F1352" s="358" t="s">
        <v>92</v>
      </c>
      <c r="G1352" s="359"/>
      <c r="H1352" s="82" t="s">
        <v>970</v>
      </c>
      <c r="I1352" s="82" t="s">
        <v>971</v>
      </c>
      <c r="J1352" s="76" t="s">
        <v>86</v>
      </c>
    </row>
    <row r="1353" spans="1:10" x14ac:dyDescent="0.3">
      <c r="A1353" s="247"/>
      <c r="B1353" s="73"/>
      <c r="C1353" s="74"/>
      <c r="D1353" s="75"/>
      <c r="E1353" s="74"/>
      <c r="F1353" s="358">
        <v>12</v>
      </c>
      <c r="G1353" s="359"/>
      <c r="H1353" s="82">
        <v>20</v>
      </c>
      <c r="I1353" s="82">
        <v>8</v>
      </c>
      <c r="J1353" s="76">
        <f>I1353*H1353*F1353</f>
        <v>1920</v>
      </c>
    </row>
    <row r="1354" spans="1:10" ht="15" thickBot="1" x14ac:dyDescent="0.35">
      <c r="A1354" s="364" t="s">
        <v>64</v>
      </c>
      <c r="B1354" s="365"/>
      <c r="C1354" s="365"/>
      <c r="D1354" s="365"/>
      <c r="E1354" s="365"/>
      <c r="F1354" s="365"/>
      <c r="G1354" s="365"/>
      <c r="H1354" s="365"/>
      <c r="I1354" s="366"/>
      <c r="J1354" s="275">
        <f>SUM(J1352:J1353)</f>
        <v>1920</v>
      </c>
    </row>
    <row r="1355" spans="1:10" x14ac:dyDescent="0.3">
      <c r="A1355" s="247" t="str">
        <f>ORÇAMENTO!A454</f>
        <v>21.3</v>
      </c>
      <c r="B1355" s="73" t="str">
        <f>ORÇAMENTO!B454</f>
        <v>GOINFRA</v>
      </c>
      <c r="C1355" s="74">
        <f>ORÇAMENTO!C454</f>
        <v>250103</v>
      </c>
      <c r="D1355" s="75" t="str">
        <f>ORÇAMENTO!D454</f>
        <v xml:space="preserve">ENCARREGADO - (OBRAS CIVIS) </v>
      </c>
      <c r="E1355" s="74" t="str">
        <f>ORÇAMENTO!F454</f>
        <v xml:space="preserve">H </v>
      </c>
      <c r="F1355" s="358" t="s">
        <v>92</v>
      </c>
      <c r="G1355" s="359"/>
      <c r="H1355" s="82" t="s">
        <v>970</v>
      </c>
      <c r="I1355" s="82" t="s">
        <v>971</v>
      </c>
      <c r="J1355" s="76" t="s">
        <v>86</v>
      </c>
    </row>
    <row r="1356" spans="1:10" x14ac:dyDescent="0.3">
      <c r="A1356" s="247"/>
      <c r="B1356" s="73"/>
      <c r="C1356" s="74"/>
      <c r="D1356" s="75"/>
      <c r="E1356" s="74"/>
      <c r="F1356" s="358">
        <v>12</v>
      </c>
      <c r="G1356" s="359"/>
      <c r="H1356" s="82">
        <v>20</v>
      </c>
      <c r="I1356" s="82">
        <v>8</v>
      </c>
      <c r="J1356" s="76">
        <f>I1356*H1356*F1356</f>
        <v>1920</v>
      </c>
    </row>
    <row r="1357" spans="1:10" ht="15" thickBot="1" x14ac:dyDescent="0.35">
      <c r="A1357" s="364" t="s">
        <v>64</v>
      </c>
      <c r="B1357" s="365"/>
      <c r="C1357" s="365"/>
      <c r="D1357" s="365"/>
      <c r="E1357" s="365"/>
      <c r="F1357" s="365"/>
      <c r="G1357" s="365"/>
      <c r="H1357" s="365"/>
      <c r="I1357" s="366"/>
      <c r="J1357" s="275">
        <f>SUM(J1355:J1356)</f>
        <v>1920</v>
      </c>
    </row>
    <row r="1358" spans="1:10" x14ac:dyDescent="0.3">
      <c r="A1358" s="247" t="str">
        <f>ORÇAMENTO!A455</f>
        <v>21.4</v>
      </c>
      <c r="B1358" s="73" t="str">
        <f>ORÇAMENTO!B455</f>
        <v>GOINFRA</v>
      </c>
      <c r="C1358" s="74">
        <f>ORÇAMENTO!C455</f>
        <v>250110</v>
      </c>
      <c r="D1358" s="75" t="str">
        <f>ORÇAMENTO!D455</f>
        <v xml:space="preserve">VIGIA DE OBRAS - (NOTURNO E NO SÁBADO/DOMINGO DIURNO) - O.C. </v>
      </c>
      <c r="E1358" s="74" t="str">
        <f>ORÇAMENTO!F455</f>
        <v xml:space="preserve">H </v>
      </c>
      <c r="F1358" s="358" t="s">
        <v>92</v>
      </c>
      <c r="G1358" s="359"/>
      <c r="H1358" s="82" t="s">
        <v>970</v>
      </c>
      <c r="I1358" s="82" t="s">
        <v>971</v>
      </c>
      <c r="J1358" s="76" t="s">
        <v>86</v>
      </c>
    </row>
    <row r="1359" spans="1:10" x14ac:dyDescent="0.3">
      <c r="A1359" s="247"/>
      <c r="B1359" s="73"/>
      <c r="C1359" s="74"/>
      <c r="D1359" s="75"/>
      <c r="E1359" s="74"/>
      <c r="F1359" s="358">
        <v>12</v>
      </c>
      <c r="G1359" s="359"/>
      <c r="H1359" s="82">
        <v>20</v>
      </c>
      <c r="I1359" s="82" t="s">
        <v>1115</v>
      </c>
      <c r="J1359" s="76">
        <f>F1359*H1359*8*2</f>
        <v>3840</v>
      </c>
    </row>
    <row r="1360" spans="1:10" ht="15" thickBot="1" x14ac:dyDescent="0.35">
      <c r="A1360" s="364" t="s">
        <v>64</v>
      </c>
      <c r="B1360" s="365"/>
      <c r="C1360" s="365"/>
      <c r="D1360" s="365"/>
      <c r="E1360" s="365"/>
      <c r="F1360" s="365"/>
      <c r="G1360" s="365"/>
      <c r="H1360" s="365"/>
      <c r="I1360" s="366"/>
      <c r="J1360" s="275">
        <f>SUM(J1358:J1359)</f>
        <v>3840</v>
      </c>
    </row>
    <row r="1361" spans="1:10" ht="15" thickBot="1" x14ac:dyDescent="0.35">
      <c r="A1361" s="415" t="s">
        <v>60</v>
      </c>
      <c r="B1361" s="416"/>
      <c r="C1361" s="416"/>
      <c r="D1361" s="416"/>
      <c r="E1361" s="416"/>
      <c r="F1361" s="416"/>
      <c r="G1361" s="416"/>
      <c r="H1361" s="416"/>
      <c r="I1361" s="416"/>
      <c r="J1361" s="417"/>
    </row>
    <row r="1362" spans="1:10" x14ac:dyDescent="0.3">
      <c r="A1362" s="249">
        <v>22</v>
      </c>
      <c r="B1362" s="87" t="s">
        <v>10</v>
      </c>
      <c r="C1362" s="81">
        <v>260000</v>
      </c>
      <c r="D1362" s="262" t="s">
        <v>61</v>
      </c>
      <c r="E1362" s="95"/>
      <c r="F1362" s="231"/>
      <c r="G1362" s="231"/>
      <c r="H1362" s="95"/>
      <c r="I1362" s="95"/>
      <c r="J1362" s="96"/>
    </row>
    <row r="1363" spans="1:10" x14ac:dyDescent="0.3">
      <c r="A1363" s="247" t="str">
        <f>ORÇAMENTO!A459</f>
        <v>22.1</v>
      </c>
      <c r="B1363" s="73" t="str">
        <f>ORÇAMENTO!B459</f>
        <v>GOINFRA</v>
      </c>
      <c r="C1363" s="74">
        <f>ORÇAMENTO!C459</f>
        <v>260204</v>
      </c>
      <c r="D1363" s="75" t="str">
        <f>ORÇAMENTO!D459</f>
        <v xml:space="preserve">CAIAÇAO 2 DEMAOS EM POSTE/ VIGAS E MEIO FIO(OC) </v>
      </c>
      <c r="E1363" s="74" t="str">
        <f>ORÇAMENTO!F459</f>
        <v xml:space="preserve">m2 </v>
      </c>
      <c r="F1363" s="358" t="s">
        <v>115</v>
      </c>
      <c r="G1363" s="359"/>
      <c r="H1363" s="354" t="s">
        <v>555</v>
      </c>
      <c r="I1363" s="355"/>
      <c r="J1363" s="79" t="s">
        <v>86</v>
      </c>
    </row>
    <row r="1364" spans="1:10" x14ac:dyDescent="0.3">
      <c r="A1364" s="247"/>
      <c r="B1364" s="73"/>
      <c r="C1364" s="74"/>
      <c r="D1364" s="86" t="s">
        <v>1350</v>
      </c>
      <c r="E1364" s="74"/>
      <c r="F1364" s="358">
        <v>132</v>
      </c>
      <c r="G1364" s="359"/>
      <c r="H1364" s="354">
        <v>0.15</v>
      </c>
      <c r="I1364" s="355"/>
      <c r="J1364" s="76">
        <f>F1364*H1364</f>
        <v>19.8</v>
      </c>
    </row>
    <row r="1365" spans="1:10" x14ac:dyDescent="0.3">
      <c r="A1365" s="247"/>
      <c r="B1365" s="73"/>
      <c r="C1365" s="74"/>
      <c r="D1365" s="86" t="s">
        <v>1363</v>
      </c>
      <c r="E1365" s="74"/>
      <c r="F1365" s="358" t="s">
        <v>1364</v>
      </c>
      <c r="G1365" s="359"/>
      <c r="H1365" s="354">
        <v>0.17</v>
      </c>
      <c r="I1365" s="355"/>
      <c r="J1365" s="76">
        <f>(476.79+447.81)*H1365</f>
        <v>157.18200000000002</v>
      </c>
    </row>
    <row r="1366" spans="1:10" ht="15" thickBot="1" x14ac:dyDescent="0.35">
      <c r="A1366" s="364" t="s">
        <v>64</v>
      </c>
      <c r="B1366" s="365"/>
      <c r="C1366" s="365"/>
      <c r="D1366" s="365"/>
      <c r="E1366" s="365"/>
      <c r="F1366" s="365"/>
      <c r="G1366" s="365"/>
      <c r="H1366" s="365"/>
      <c r="I1366" s="366"/>
      <c r="J1366" s="275">
        <f>SUM(J1364:J1365)</f>
        <v>176.98200000000003</v>
      </c>
    </row>
    <row r="1367" spans="1:10" x14ac:dyDescent="0.3">
      <c r="A1367" s="247" t="str">
        <f>ORÇAMENTO!A460</f>
        <v>22.2</v>
      </c>
      <c r="B1367" s="73" t="str">
        <f>ORÇAMENTO!B460</f>
        <v>GOINFRA</v>
      </c>
      <c r="C1367" s="74">
        <f>ORÇAMENTO!C460</f>
        <v>261000</v>
      </c>
      <c r="D1367" s="75" t="str">
        <f>ORÇAMENTO!D460</f>
        <v xml:space="preserve">PINTURA LATEX ACRILICA 2 DEMAOS C/SELADOR </v>
      </c>
      <c r="E1367" s="74" t="str">
        <f>ORÇAMENTO!F460</f>
        <v xml:space="preserve">m2 </v>
      </c>
      <c r="F1367" s="377" t="s">
        <v>101</v>
      </c>
      <c r="G1367" s="378"/>
      <c r="H1367" s="371" t="s">
        <v>118</v>
      </c>
      <c r="I1367" s="373"/>
      <c r="J1367" s="79" t="s">
        <v>86</v>
      </c>
    </row>
    <row r="1368" spans="1:10" ht="41.25" customHeight="1" x14ac:dyDescent="0.3">
      <c r="A1368" s="247"/>
      <c r="B1368" s="73"/>
      <c r="C1368" s="74"/>
      <c r="D1368" s="75" t="s">
        <v>491</v>
      </c>
      <c r="E1368" s="82"/>
      <c r="F1368" s="358" t="s">
        <v>873</v>
      </c>
      <c r="G1368" s="359"/>
      <c r="H1368" s="354">
        <v>4.7</v>
      </c>
      <c r="I1368" s="355"/>
      <c r="J1368" s="79">
        <f>(7.15+10.14+44.13+49.74+44.13+6.8+33.37+32.8+40.48+18+18+3.98+3.98)*H1368</f>
        <v>1469.6900000000003</v>
      </c>
    </row>
    <row r="1369" spans="1:10" x14ac:dyDescent="0.3">
      <c r="A1369" s="247"/>
      <c r="B1369" s="73"/>
      <c r="C1369" s="74"/>
      <c r="D1369" s="75" t="s">
        <v>492</v>
      </c>
      <c r="E1369" s="82"/>
      <c r="F1369" s="358" t="s">
        <v>504</v>
      </c>
      <c r="G1369" s="359"/>
      <c r="H1369" s="354">
        <v>2.1</v>
      </c>
      <c r="I1369" s="355"/>
      <c r="J1369" s="79">
        <f>-(1+6*0.8+3+2*3.5)*H1369</f>
        <v>-33.18</v>
      </c>
    </row>
    <row r="1370" spans="1:10" x14ac:dyDescent="0.3">
      <c r="A1370" s="247"/>
      <c r="B1370" s="73"/>
      <c r="C1370" s="74"/>
      <c r="D1370" s="75" t="s">
        <v>493</v>
      </c>
      <c r="E1370" s="82"/>
      <c r="F1370" s="358" t="s">
        <v>505</v>
      </c>
      <c r="G1370" s="359"/>
      <c r="H1370" s="354">
        <v>0.5</v>
      </c>
      <c r="I1370" s="355"/>
      <c r="J1370" s="79">
        <f>-6*1.6*0.5</f>
        <v>-4.8000000000000007</v>
      </c>
    </row>
    <row r="1371" spans="1:10" x14ac:dyDescent="0.3">
      <c r="A1371" s="247"/>
      <c r="B1371" s="73"/>
      <c r="C1371" s="74"/>
      <c r="D1371" s="75" t="s">
        <v>493</v>
      </c>
      <c r="E1371" s="82"/>
      <c r="F1371" s="358" t="s">
        <v>506</v>
      </c>
      <c r="G1371" s="359"/>
      <c r="H1371" s="354">
        <v>1.1000000000000001</v>
      </c>
      <c r="I1371" s="355"/>
      <c r="J1371" s="79">
        <f>-24*1.8*1.1</f>
        <v>-47.52000000000001</v>
      </c>
    </row>
    <row r="1372" spans="1:10" x14ac:dyDescent="0.3">
      <c r="A1372" s="247"/>
      <c r="B1372" s="73"/>
      <c r="C1372" s="74"/>
      <c r="D1372" s="75" t="s">
        <v>493</v>
      </c>
      <c r="E1372" s="82"/>
      <c r="F1372" s="358">
        <v>1.7</v>
      </c>
      <c r="G1372" s="359"/>
      <c r="H1372" s="354">
        <v>1</v>
      </c>
      <c r="I1372" s="355"/>
      <c r="J1372" s="79">
        <f>-1.7*1</f>
        <v>-1.7</v>
      </c>
    </row>
    <row r="1373" spans="1:10" x14ac:dyDescent="0.3">
      <c r="A1373" s="247"/>
      <c r="B1373" s="73"/>
      <c r="C1373" s="74"/>
      <c r="D1373" s="75" t="s">
        <v>493</v>
      </c>
      <c r="E1373" s="82"/>
      <c r="F1373" s="358" t="s">
        <v>507</v>
      </c>
      <c r="G1373" s="359"/>
      <c r="H1373" s="354">
        <v>0.5</v>
      </c>
      <c r="I1373" s="355"/>
      <c r="J1373" s="79">
        <f>-13*0.5*0.5</f>
        <v>-3.25</v>
      </c>
    </row>
    <row r="1374" spans="1:10" x14ac:dyDescent="0.3">
      <c r="A1374" s="247"/>
      <c r="B1374" s="73"/>
      <c r="C1374" s="74"/>
      <c r="D1374" s="75" t="s">
        <v>493</v>
      </c>
      <c r="E1374" s="82"/>
      <c r="F1374" s="358" t="s">
        <v>508</v>
      </c>
      <c r="G1374" s="359"/>
      <c r="H1374" s="354">
        <v>1.1000000000000001</v>
      </c>
      <c r="I1374" s="355"/>
      <c r="J1374" s="79">
        <f>-15*1.6*1.1</f>
        <v>-26.400000000000002</v>
      </c>
    </row>
    <row r="1375" spans="1:10" x14ac:dyDescent="0.3">
      <c r="A1375" s="247"/>
      <c r="B1375" s="73"/>
      <c r="C1375" s="74"/>
      <c r="D1375" s="75" t="s">
        <v>493</v>
      </c>
      <c r="E1375" s="82"/>
      <c r="F1375" s="358" t="s">
        <v>508</v>
      </c>
      <c r="G1375" s="359"/>
      <c r="H1375" s="354">
        <v>0.5</v>
      </c>
      <c r="I1375" s="355"/>
      <c r="J1375" s="79">
        <f>-15*1.6*0.5</f>
        <v>-12</v>
      </c>
    </row>
    <row r="1376" spans="1:10" x14ac:dyDescent="0.3">
      <c r="A1376" s="247"/>
      <c r="B1376" s="73"/>
      <c r="C1376" s="74"/>
      <c r="D1376" s="75" t="s">
        <v>494</v>
      </c>
      <c r="E1376" s="82"/>
      <c r="F1376" s="358">
        <v>3.6</v>
      </c>
      <c r="G1376" s="359"/>
      <c r="H1376" s="354">
        <v>1.65</v>
      </c>
      <c r="I1376" s="355"/>
      <c r="J1376" s="79">
        <f>-H1376*F1376</f>
        <v>-5.9399999999999995</v>
      </c>
    </row>
    <row r="1377" spans="1:10" x14ac:dyDescent="0.3">
      <c r="A1377" s="247"/>
      <c r="B1377" s="73"/>
      <c r="C1377" s="74"/>
      <c r="D1377" s="75" t="s">
        <v>494</v>
      </c>
      <c r="E1377" s="82"/>
      <c r="F1377" s="358">
        <v>2</v>
      </c>
      <c r="G1377" s="359"/>
      <c r="H1377" s="354">
        <v>1</v>
      </c>
      <c r="I1377" s="355"/>
      <c r="J1377" s="79">
        <f>-H1377*F1377</f>
        <v>-2</v>
      </c>
    </row>
    <row r="1378" spans="1:10" x14ac:dyDescent="0.3">
      <c r="A1378" s="247"/>
      <c r="B1378" s="73"/>
      <c r="C1378" s="74"/>
      <c r="D1378" s="75" t="s">
        <v>494</v>
      </c>
      <c r="E1378" s="82"/>
      <c r="F1378" s="358">
        <v>3</v>
      </c>
      <c r="G1378" s="359"/>
      <c r="H1378" s="354">
        <v>2.6</v>
      </c>
      <c r="I1378" s="355"/>
      <c r="J1378" s="79">
        <f>-H1378*F1378</f>
        <v>-7.8000000000000007</v>
      </c>
    </row>
    <row r="1379" spans="1:10" x14ac:dyDescent="0.3">
      <c r="A1379" s="258"/>
      <c r="B1379" s="119"/>
      <c r="C1379" s="120"/>
      <c r="D1379" s="75" t="s">
        <v>1117</v>
      </c>
      <c r="E1379" s="82" t="s">
        <v>1097</v>
      </c>
      <c r="F1379" s="358" t="s">
        <v>1119</v>
      </c>
      <c r="G1379" s="359"/>
      <c r="H1379" s="354">
        <v>0.5</v>
      </c>
      <c r="I1379" s="355"/>
      <c r="J1379" s="79">
        <f>(36.79 + 6*6.15)*H1379</f>
        <v>36.844999999999999</v>
      </c>
    </row>
    <row r="1380" spans="1:10" x14ac:dyDescent="0.3">
      <c r="A1380" s="384" t="s">
        <v>992</v>
      </c>
      <c r="B1380" s="385"/>
      <c r="C1380" s="385"/>
      <c r="D1380" s="385"/>
      <c r="E1380" s="385"/>
      <c r="F1380" s="385"/>
      <c r="G1380" s="385"/>
      <c r="H1380" s="385"/>
      <c r="I1380" s="386"/>
      <c r="J1380" s="76">
        <f>SUM(J1368:J1379)</f>
        <v>1361.9450000000002</v>
      </c>
    </row>
    <row r="1381" spans="1:10" x14ac:dyDescent="0.3">
      <c r="A1381" s="258"/>
      <c r="B1381" s="119"/>
      <c r="C1381" s="120"/>
      <c r="D1381" s="75" t="s">
        <v>1122</v>
      </c>
      <c r="E1381" s="82"/>
      <c r="F1381" s="358" t="s">
        <v>1123</v>
      </c>
      <c r="G1381" s="359"/>
      <c r="H1381" s="354">
        <v>1.2</v>
      </c>
      <c r="I1381" s="355"/>
      <c r="J1381" s="79">
        <f>(16.1+26.95+16.1+26.95)*H1381</f>
        <v>103.32</v>
      </c>
    </row>
    <row r="1382" spans="1:10" x14ac:dyDescent="0.3">
      <c r="A1382" s="384" t="s">
        <v>981</v>
      </c>
      <c r="B1382" s="385"/>
      <c r="C1382" s="385"/>
      <c r="D1382" s="385"/>
      <c r="E1382" s="385"/>
      <c r="F1382" s="385"/>
      <c r="G1382" s="385"/>
      <c r="H1382" s="385"/>
      <c r="I1382" s="386"/>
      <c r="J1382" s="76">
        <f>SUM(J1381)*2</f>
        <v>206.64</v>
      </c>
    </row>
    <row r="1383" spans="1:10" x14ac:dyDescent="0.3">
      <c r="A1383" s="251"/>
      <c r="B1383" s="90"/>
      <c r="C1383" s="91"/>
      <c r="D1383" s="86" t="s">
        <v>496</v>
      </c>
      <c r="E1383" s="91"/>
      <c r="F1383" s="358" t="s">
        <v>511</v>
      </c>
      <c r="G1383" s="359"/>
      <c r="H1383" s="354">
        <v>1.1000000000000001</v>
      </c>
      <c r="I1383" s="355"/>
      <c r="J1383" s="79">
        <f>(32.7*2+2.54*2)*H1383</f>
        <v>77.528000000000006</v>
      </c>
    </row>
    <row r="1384" spans="1:10" x14ac:dyDescent="0.3">
      <c r="A1384" s="384" t="s">
        <v>992</v>
      </c>
      <c r="B1384" s="385"/>
      <c r="C1384" s="385"/>
      <c r="D1384" s="385"/>
      <c r="E1384" s="385"/>
      <c r="F1384" s="385"/>
      <c r="G1384" s="385"/>
      <c r="H1384" s="385"/>
      <c r="I1384" s="386"/>
      <c r="J1384" s="76">
        <f>SUM(J1383:J1383)</f>
        <v>77.528000000000006</v>
      </c>
    </row>
    <row r="1385" spans="1:10" x14ac:dyDescent="0.3">
      <c r="A1385" s="251"/>
      <c r="B1385" s="90"/>
      <c r="C1385" s="91"/>
      <c r="D1385" s="86" t="s">
        <v>497</v>
      </c>
      <c r="E1385" s="91"/>
      <c r="F1385" s="358" t="s">
        <v>499</v>
      </c>
      <c r="G1385" s="359"/>
      <c r="H1385" s="354">
        <v>4.3</v>
      </c>
      <c r="I1385" s="355"/>
      <c r="J1385" s="79">
        <f>(12.4*3+32.12*2)*H1385</f>
        <v>436.19199999999995</v>
      </c>
    </row>
    <row r="1386" spans="1:10" x14ac:dyDescent="0.3">
      <c r="A1386" s="251"/>
      <c r="B1386" s="90"/>
      <c r="C1386" s="91"/>
      <c r="D1386" s="86" t="s">
        <v>500</v>
      </c>
      <c r="E1386" s="91"/>
      <c r="F1386" s="358">
        <v>2.94</v>
      </c>
      <c r="G1386" s="359"/>
      <c r="H1386" s="354">
        <v>3</v>
      </c>
      <c r="I1386" s="355"/>
      <c r="J1386" s="79">
        <f>H1386*F1386</f>
        <v>8.82</v>
      </c>
    </row>
    <row r="1387" spans="1:10" x14ac:dyDescent="0.3">
      <c r="A1387" s="247"/>
      <c r="B1387" s="73"/>
      <c r="C1387" s="74"/>
      <c r="D1387" s="75" t="s">
        <v>492</v>
      </c>
      <c r="E1387" s="82"/>
      <c r="F1387" s="358" t="s">
        <v>498</v>
      </c>
      <c r="G1387" s="359"/>
      <c r="H1387" s="354">
        <v>2.5</v>
      </c>
      <c r="I1387" s="355"/>
      <c r="J1387" s="79">
        <f>-2*2*2.5</f>
        <v>-10</v>
      </c>
    </row>
    <row r="1388" spans="1:10" x14ac:dyDescent="0.3">
      <c r="A1388" s="247"/>
      <c r="B1388" s="73"/>
      <c r="C1388" s="74"/>
      <c r="D1388" s="75" t="s">
        <v>492</v>
      </c>
      <c r="E1388" s="82"/>
      <c r="F1388" s="358" t="s">
        <v>501</v>
      </c>
      <c r="G1388" s="359"/>
      <c r="H1388" s="354">
        <v>2.1</v>
      </c>
      <c r="I1388" s="355"/>
      <c r="J1388" s="79">
        <f>-0.8*4*2.1</f>
        <v>-6.7200000000000006</v>
      </c>
    </row>
    <row r="1389" spans="1:10" x14ac:dyDescent="0.3">
      <c r="A1389" s="247"/>
      <c r="B1389" s="73"/>
      <c r="C1389" s="74"/>
      <c r="D1389" s="75" t="s">
        <v>493</v>
      </c>
      <c r="E1389" s="82"/>
      <c r="F1389" s="358" t="s">
        <v>502</v>
      </c>
      <c r="G1389" s="359"/>
      <c r="H1389" s="354">
        <v>0.5</v>
      </c>
      <c r="I1389" s="355"/>
      <c r="J1389" s="79">
        <f>-3*10*0.5</f>
        <v>-15</v>
      </c>
    </row>
    <row r="1390" spans="1:10" x14ac:dyDescent="0.3">
      <c r="A1390" s="247"/>
      <c r="B1390" s="73"/>
      <c r="C1390" s="74"/>
      <c r="D1390" s="75" t="s">
        <v>493</v>
      </c>
      <c r="E1390" s="82"/>
      <c r="F1390" s="358" t="s">
        <v>503</v>
      </c>
      <c r="G1390" s="359"/>
      <c r="H1390" s="354">
        <v>0.5</v>
      </c>
      <c r="I1390" s="355"/>
      <c r="J1390" s="79">
        <f>-1.6*2*0.5</f>
        <v>-1.6</v>
      </c>
    </row>
    <row r="1391" spans="1:10" x14ac:dyDescent="0.3">
      <c r="A1391" s="384" t="s">
        <v>992</v>
      </c>
      <c r="B1391" s="385"/>
      <c r="C1391" s="385"/>
      <c r="D1391" s="385"/>
      <c r="E1391" s="385"/>
      <c r="F1391" s="385"/>
      <c r="G1391" s="385"/>
      <c r="H1391" s="385"/>
      <c r="I1391" s="386"/>
      <c r="J1391" s="76">
        <f>SUM(J1385:J1390)</f>
        <v>411.69199999999989</v>
      </c>
    </row>
    <row r="1392" spans="1:10" x14ac:dyDescent="0.3">
      <c r="A1392" s="247"/>
      <c r="B1392" s="73"/>
      <c r="C1392" s="74"/>
      <c r="D1392" s="75" t="s">
        <v>1468</v>
      </c>
      <c r="E1392" s="82"/>
      <c r="F1392" s="358" t="s">
        <v>1469</v>
      </c>
      <c r="G1392" s="359"/>
      <c r="H1392" s="354">
        <v>2.8</v>
      </c>
      <c r="I1392" s="355"/>
      <c r="J1392" s="79">
        <f>(1.1+1.1+3.5)*H1392</f>
        <v>15.959999999999999</v>
      </c>
    </row>
    <row r="1393" spans="1:10" x14ac:dyDescent="0.3">
      <c r="A1393" s="247"/>
      <c r="B1393" s="73"/>
      <c r="C1393" s="74"/>
      <c r="D1393" s="75" t="s">
        <v>1470</v>
      </c>
      <c r="E1393" s="82"/>
      <c r="F1393" s="358" t="s">
        <v>1471</v>
      </c>
      <c r="G1393" s="359"/>
      <c r="H1393" s="354">
        <v>2.1</v>
      </c>
      <c r="I1393" s="355"/>
      <c r="J1393" s="79">
        <f>-0.75*4*H1393</f>
        <v>-6.3000000000000007</v>
      </c>
    </row>
    <row r="1394" spans="1:10" x14ac:dyDescent="0.3">
      <c r="A1394" s="384" t="s">
        <v>981</v>
      </c>
      <c r="B1394" s="385"/>
      <c r="C1394" s="385"/>
      <c r="D1394" s="385"/>
      <c r="E1394" s="385"/>
      <c r="F1394" s="385"/>
      <c r="G1394" s="385"/>
      <c r="H1394" s="385"/>
      <c r="I1394" s="386"/>
      <c r="J1394" s="76">
        <f>SUM(J1392:J1393)</f>
        <v>9.6599999999999984</v>
      </c>
    </row>
    <row r="1395" spans="1:10" ht="15" thickBot="1" x14ac:dyDescent="0.35">
      <c r="A1395" s="364" t="s">
        <v>64</v>
      </c>
      <c r="B1395" s="365"/>
      <c r="C1395" s="365"/>
      <c r="D1395" s="365"/>
      <c r="E1395" s="365"/>
      <c r="F1395" s="365"/>
      <c r="G1395" s="365"/>
      <c r="H1395" s="365"/>
      <c r="I1395" s="366"/>
      <c r="J1395" s="275">
        <f>J1391+J1384+J1380+J1382+J1394</f>
        <v>2067.4649999999997</v>
      </c>
    </row>
    <row r="1396" spans="1:10" x14ac:dyDescent="0.3">
      <c r="A1396" s="247" t="str">
        <f>ORÇAMENTO!A461</f>
        <v>22.3</v>
      </c>
      <c r="B1396" s="73" t="str">
        <f>ORÇAMENTO!B461</f>
        <v>GOINFRA</v>
      </c>
      <c r="C1396" s="74">
        <f>ORÇAMENTO!C461</f>
        <v>261008</v>
      </c>
      <c r="D1396" s="75" t="str">
        <f>ORÇAMENTO!D461</f>
        <v xml:space="preserve">FUNDO ANTICORROSIVO PARA ESQUADRIAS METÁLICAS </v>
      </c>
      <c r="E1396" s="74" t="str">
        <f>ORÇAMENTO!F461</f>
        <v>m2</v>
      </c>
      <c r="F1396" s="377" t="s">
        <v>88</v>
      </c>
      <c r="G1396" s="378"/>
      <c r="H1396" s="371" t="s">
        <v>1008</v>
      </c>
      <c r="I1396" s="373"/>
      <c r="J1396" s="79" t="s">
        <v>86</v>
      </c>
    </row>
    <row r="1397" spans="1:10" x14ac:dyDescent="0.3">
      <c r="A1397" s="247"/>
      <c r="B1397" s="73"/>
      <c r="C1397" s="74"/>
      <c r="D1397" s="122" t="s">
        <v>1009</v>
      </c>
      <c r="E1397" s="107"/>
      <c r="F1397" s="356">
        <v>21</v>
      </c>
      <c r="G1397" s="357"/>
      <c r="H1397" s="351">
        <v>3</v>
      </c>
      <c r="I1397" s="353"/>
      <c r="J1397" s="79">
        <f>H1397*F1397</f>
        <v>63</v>
      </c>
    </row>
    <row r="1398" spans="1:10" x14ac:dyDescent="0.3">
      <c r="A1398" s="247"/>
      <c r="B1398" s="73"/>
      <c r="C1398" s="74"/>
      <c r="D1398" s="122" t="s">
        <v>1010</v>
      </c>
      <c r="E1398" s="107"/>
      <c r="F1398" s="356">
        <v>12.000000000000002</v>
      </c>
      <c r="G1398" s="357"/>
      <c r="H1398" s="351">
        <v>2</v>
      </c>
      <c r="I1398" s="353"/>
      <c r="J1398" s="79">
        <f t="shared" ref="J1398:J1405" si="18">H1398*F1398</f>
        <v>24.000000000000004</v>
      </c>
    </row>
    <row r="1399" spans="1:10" x14ac:dyDescent="0.3">
      <c r="A1399" s="247"/>
      <c r="B1399" s="73"/>
      <c r="C1399" s="74"/>
      <c r="D1399" s="122" t="s">
        <v>1011</v>
      </c>
      <c r="E1399" s="107"/>
      <c r="F1399" s="356">
        <v>75.789999999999964</v>
      </c>
      <c r="G1399" s="357"/>
      <c r="H1399" s="351">
        <v>2</v>
      </c>
      <c r="I1399" s="353"/>
      <c r="J1399" s="79">
        <f t="shared" si="18"/>
        <v>151.57999999999993</v>
      </c>
    </row>
    <row r="1400" spans="1:10" x14ac:dyDescent="0.3">
      <c r="A1400" s="247"/>
      <c r="B1400" s="73"/>
      <c r="C1400" s="74"/>
      <c r="D1400" s="122" t="s">
        <v>1012</v>
      </c>
      <c r="E1400" s="107"/>
      <c r="F1400" s="356">
        <v>15</v>
      </c>
      <c r="G1400" s="357"/>
      <c r="H1400" s="351">
        <v>2</v>
      </c>
      <c r="I1400" s="353"/>
      <c r="J1400" s="79">
        <f t="shared" si="18"/>
        <v>30</v>
      </c>
    </row>
    <row r="1401" spans="1:10" x14ac:dyDescent="0.3">
      <c r="A1401" s="247"/>
      <c r="B1401" s="73"/>
      <c r="C1401" s="74"/>
      <c r="D1401" s="122" t="s">
        <v>1013</v>
      </c>
      <c r="E1401" s="107"/>
      <c r="F1401" s="356">
        <v>6.3999999999999995</v>
      </c>
      <c r="G1401" s="357"/>
      <c r="H1401" s="351">
        <v>2</v>
      </c>
      <c r="I1401" s="353"/>
      <c r="J1401" s="79">
        <f t="shared" si="18"/>
        <v>12.799999999999999</v>
      </c>
    </row>
    <row r="1402" spans="1:10" x14ac:dyDescent="0.3">
      <c r="A1402" s="247"/>
      <c r="B1402" s="73"/>
      <c r="C1402" s="74"/>
      <c r="D1402" s="122" t="s">
        <v>1014</v>
      </c>
      <c r="E1402" s="107"/>
      <c r="F1402" s="356">
        <v>9.94</v>
      </c>
      <c r="G1402" s="357"/>
      <c r="H1402" s="351">
        <v>2</v>
      </c>
      <c r="I1402" s="353"/>
      <c r="J1402" s="79">
        <f t="shared" si="18"/>
        <v>19.88</v>
      </c>
    </row>
    <row r="1403" spans="1:10" x14ac:dyDescent="0.3">
      <c r="A1403" s="247"/>
      <c r="B1403" s="73"/>
      <c r="C1403" s="74"/>
      <c r="D1403" s="122" t="s">
        <v>892</v>
      </c>
      <c r="E1403" s="107"/>
      <c r="F1403" s="356">
        <v>21.000000000000004</v>
      </c>
      <c r="G1403" s="357"/>
      <c r="H1403" s="351">
        <v>3</v>
      </c>
      <c r="I1403" s="353"/>
      <c r="J1403" s="79">
        <f t="shared" si="18"/>
        <v>63.000000000000014</v>
      </c>
    </row>
    <row r="1404" spans="1:10" x14ac:dyDescent="0.3">
      <c r="A1404" s="247"/>
      <c r="B1404" s="73"/>
      <c r="C1404" s="74"/>
      <c r="D1404" s="122" t="s">
        <v>1015</v>
      </c>
      <c r="E1404" s="82"/>
      <c r="F1404" s="358">
        <v>10.5</v>
      </c>
      <c r="G1404" s="359"/>
      <c r="H1404" s="351">
        <v>3</v>
      </c>
      <c r="I1404" s="353"/>
      <c r="J1404" s="79">
        <f t="shared" si="18"/>
        <v>31.5</v>
      </c>
    </row>
    <row r="1405" spans="1:10" x14ac:dyDescent="0.3">
      <c r="A1405" s="258"/>
      <c r="B1405" s="119"/>
      <c r="C1405" s="120"/>
      <c r="D1405" s="122" t="s">
        <v>1016</v>
      </c>
      <c r="E1405" s="78"/>
      <c r="F1405" s="358">
        <v>39.419999999999995</v>
      </c>
      <c r="G1405" s="359"/>
      <c r="H1405" s="351">
        <v>3</v>
      </c>
      <c r="I1405" s="353"/>
      <c r="J1405" s="79">
        <f t="shared" si="18"/>
        <v>118.25999999999999</v>
      </c>
    </row>
    <row r="1406" spans="1:10" x14ac:dyDescent="0.3">
      <c r="A1406" s="247"/>
      <c r="B1406" s="73"/>
      <c r="C1406" s="74"/>
      <c r="D1406" s="86" t="s">
        <v>1125</v>
      </c>
      <c r="E1406" s="105"/>
      <c r="F1406" s="358" t="s">
        <v>1558</v>
      </c>
      <c r="G1406" s="359"/>
      <c r="H1406" s="354">
        <v>5</v>
      </c>
      <c r="I1406" s="355"/>
      <c r="J1406" s="76">
        <f>(16.1+16.1+3+3+3+3)*H1406*2</f>
        <v>442</v>
      </c>
    </row>
    <row r="1407" spans="1:10" ht="15" thickBot="1" x14ac:dyDescent="0.35">
      <c r="A1407" s="364" t="s">
        <v>64</v>
      </c>
      <c r="B1407" s="365"/>
      <c r="C1407" s="365"/>
      <c r="D1407" s="365"/>
      <c r="E1407" s="365"/>
      <c r="F1407" s="365"/>
      <c r="G1407" s="365"/>
      <c r="H1407" s="365"/>
      <c r="I1407" s="366"/>
      <c r="J1407" s="275">
        <f>SUM(J1397:J1406)</f>
        <v>956.02</v>
      </c>
    </row>
    <row r="1408" spans="1:10" x14ac:dyDescent="0.3">
      <c r="A1408" s="247" t="str">
        <f>ORÇAMENTO!A462</f>
        <v>22.4</v>
      </c>
      <c r="B1408" s="73" t="str">
        <f>ORÇAMENTO!B462</f>
        <v>GOINFRA</v>
      </c>
      <c r="C1408" s="74">
        <f>ORÇAMENTO!C462</f>
        <v>261300</v>
      </c>
      <c r="D1408" s="75" t="str">
        <f>ORÇAMENTO!D462</f>
        <v xml:space="preserve">EMASSAMENTO COM MASSA PVA DUAS DEMAOS </v>
      </c>
      <c r="E1408" s="74" t="str">
        <f>ORÇAMENTO!F462</f>
        <v>m2</v>
      </c>
      <c r="F1408" s="377" t="s">
        <v>101</v>
      </c>
      <c r="G1408" s="378"/>
      <c r="H1408" s="371" t="s">
        <v>118</v>
      </c>
      <c r="I1408" s="373"/>
      <c r="J1408" s="79" t="s">
        <v>86</v>
      </c>
    </row>
    <row r="1409" spans="1:10" ht="39.75" customHeight="1" x14ac:dyDescent="0.3">
      <c r="A1409" s="247"/>
      <c r="B1409" s="73"/>
      <c r="C1409" s="74"/>
      <c r="D1409" s="75" t="s">
        <v>491</v>
      </c>
      <c r="E1409" s="82"/>
      <c r="F1409" s="358" t="s">
        <v>873</v>
      </c>
      <c r="G1409" s="359"/>
      <c r="H1409" s="354">
        <v>3</v>
      </c>
      <c r="I1409" s="355"/>
      <c r="J1409" s="79">
        <f>(7.15+10.14+44.13+49.74+44.13+6.8+33.37+32.8+40.48+18+18+3.98+3.98)*H1409</f>
        <v>938.10000000000014</v>
      </c>
    </row>
    <row r="1410" spans="1:10" x14ac:dyDescent="0.3">
      <c r="A1410" s="247"/>
      <c r="B1410" s="73"/>
      <c r="C1410" s="74"/>
      <c r="D1410" s="75" t="s">
        <v>492</v>
      </c>
      <c r="E1410" s="82"/>
      <c r="F1410" s="358" t="s">
        <v>504</v>
      </c>
      <c r="G1410" s="359"/>
      <c r="H1410" s="354">
        <v>2.1</v>
      </c>
      <c r="I1410" s="355"/>
      <c r="J1410" s="79">
        <f>-(1+6*0.8+3+2*3.5)*H1410</f>
        <v>-33.18</v>
      </c>
    </row>
    <row r="1411" spans="1:10" x14ac:dyDescent="0.3">
      <c r="A1411" s="247"/>
      <c r="B1411" s="73"/>
      <c r="C1411" s="74"/>
      <c r="D1411" s="75" t="s">
        <v>493</v>
      </c>
      <c r="E1411" s="82"/>
      <c r="F1411" s="358" t="s">
        <v>505</v>
      </c>
      <c r="G1411" s="359"/>
      <c r="H1411" s="354">
        <v>0.5</v>
      </c>
      <c r="I1411" s="355"/>
      <c r="J1411" s="79">
        <f>-6*1.6*0.5</f>
        <v>-4.8000000000000007</v>
      </c>
    </row>
    <row r="1412" spans="1:10" x14ac:dyDescent="0.3">
      <c r="A1412" s="247"/>
      <c r="B1412" s="73"/>
      <c r="C1412" s="74"/>
      <c r="D1412" s="75" t="s">
        <v>493</v>
      </c>
      <c r="E1412" s="82"/>
      <c r="F1412" s="358" t="s">
        <v>506</v>
      </c>
      <c r="G1412" s="359"/>
      <c r="H1412" s="354">
        <v>1.1000000000000001</v>
      </c>
      <c r="I1412" s="355"/>
      <c r="J1412" s="79">
        <f>-24*1.8*1.1</f>
        <v>-47.52000000000001</v>
      </c>
    </row>
    <row r="1413" spans="1:10" x14ac:dyDescent="0.3">
      <c r="A1413" s="247"/>
      <c r="B1413" s="73"/>
      <c r="C1413" s="74"/>
      <c r="D1413" s="75" t="s">
        <v>493</v>
      </c>
      <c r="E1413" s="82"/>
      <c r="F1413" s="358">
        <v>1.7</v>
      </c>
      <c r="G1413" s="359"/>
      <c r="H1413" s="354">
        <v>1</v>
      </c>
      <c r="I1413" s="355"/>
      <c r="J1413" s="79">
        <f>-1.7*1</f>
        <v>-1.7</v>
      </c>
    </row>
    <row r="1414" spans="1:10" x14ac:dyDescent="0.3">
      <c r="A1414" s="247"/>
      <c r="B1414" s="73"/>
      <c r="C1414" s="74"/>
      <c r="D1414" s="75" t="s">
        <v>493</v>
      </c>
      <c r="E1414" s="82"/>
      <c r="F1414" s="358" t="s">
        <v>507</v>
      </c>
      <c r="G1414" s="359"/>
      <c r="H1414" s="354">
        <v>0.5</v>
      </c>
      <c r="I1414" s="355"/>
      <c r="J1414" s="79">
        <f>-13*0.5*0.5</f>
        <v>-3.25</v>
      </c>
    </row>
    <row r="1415" spans="1:10" x14ac:dyDescent="0.3">
      <c r="A1415" s="247"/>
      <c r="B1415" s="73"/>
      <c r="C1415" s="74"/>
      <c r="D1415" s="75" t="s">
        <v>493</v>
      </c>
      <c r="E1415" s="82"/>
      <c r="F1415" s="358" t="s">
        <v>508</v>
      </c>
      <c r="G1415" s="359"/>
      <c r="H1415" s="354">
        <v>1.1000000000000001</v>
      </c>
      <c r="I1415" s="355"/>
      <c r="J1415" s="79">
        <f>-15*1.6*1.1</f>
        <v>-26.400000000000002</v>
      </c>
    </row>
    <row r="1416" spans="1:10" x14ac:dyDescent="0.3">
      <c r="A1416" s="247"/>
      <c r="B1416" s="73"/>
      <c r="C1416" s="74"/>
      <c r="D1416" s="75" t="s">
        <v>493</v>
      </c>
      <c r="E1416" s="82"/>
      <c r="F1416" s="358" t="s">
        <v>508</v>
      </c>
      <c r="G1416" s="359"/>
      <c r="H1416" s="354">
        <v>0.5</v>
      </c>
      <c r="I1416" s="355"/>
      <c r="J1416" s="79">
        <f>-15*1.6*0.5</f>
        <v>-12</v>
      </c>
    </row>
    <row r="1417" spans="1:10" x14ac:dyDescent="0.3">
      <c r="A1417" s="247"/>
      <c r="B1417" s="73"/>
      <c r="C1417" s="74"/>
      <c r="D1417" s="75" t="s">
        <v>494</v>
      </c>
      <c r="E1417" s="82"/>
      <c r="F1417" s="358">
        <v>3.6</v>
      </c>
      <c r="G1417" s="359"/>
      <c r="H1417" s="354">
        <v>1.65</v>
      </c>
      <c r="I1417" s="355"/>
      <c r="J1417" s="79">
        <f>-H1417*F1417</f>
        <v>-5.9399999999999995</v>
      </c>
    </row>
    <row r="1418" spans="1:10" x14ac:dyDescent="0.3">
      <c r="A1418" s="247"/>
      <c r="B1418" s="73"/>
      <c r="C1418" s="74"/>
      <c r="D1418" s="75" t="s">
        <v>494</v>
      </c>
      <c r="E1418" s="82"/>
      <c r="F1418" s="358">
        <v>2</v>
      </c>
      <c r="G1418" s="359"/>
      <c r="H1418" s="354">
        <v>1</v>
      </c>
      <c r="I1418" s="355"/>
      <c r="J1418" s="79">
        <f>-H1418*F1418</f>
        <v>-2</v>
      </c>
    </row>
    <row r="1419" spans="1:10" x14ac:dyDescent="0.3">
      <c r="A1419" s="247"/>
      <c r="B1419" s="73"/>
      <c r="C1419" s="74"/>
      <c r="D1419" s="75" t="s">
        <v>494</v>
      </c>
      <c r="E1419" s="82"/>
      <c r="F1419" s="358">
        <v>3</v>
      </c>
      <c r="G1419" s="359"/>
      <c r="H1419" s="354">
        <v>2.6</v>
      </c>
      <c r="I1419" s="355"/>
      <c r="J1419" s="79">
        <f>-H1419*F1419</f>
        <v>-7.8000000000000007</v>
      </c>
    </row>
    <row r="1420" spans="1:10" x14ac:dyDescent="0.3">
      <c r="A1420" s="384" t="s">
        <v>992</v>
      </c>
      <c r="B1420" s="385"/>
      <c r="C1420" s="385"/>
      <c r="D1420" s="385"/>
      <c r="E1420" s="385"/>
      <c r="F1420" s="385"/>
      <c r="G1420" s="385"/>
      <c r="H1420" s="385"/>
      <c r="I1420" s="386"/>
      <c r="J1420" s="76">
        <f>SUM(J1409:J1419)</f>
        <v>793.51000000000022</v>
      </c>
    </row>
    <row r="1421" spans="1:10" ht="72.75" customHeight="1" x14ac:dyDescent="0.3">
      <c r="A1421" s="251"/>
      <c r="B1421" s="90"/>
      <c r="C1421" s="91"/>
      <c r="D1421" s="86" t="s">
        <v>495</v>
      </c>
      <c r="E1421" s="91"/>
      <c r="F1421" s="358" t="s">
        <v>874</v>
      </c>
      <c r="G1421" s="359"/>
      <c r="H1421" s="354">
        <v>3</v>
      </c>
      <c r="I1421" s="355"/>
      <c r="J1421" s="79">
        <f>(18*3.5+3.5+3.5+3.5+3.5+2.2+1.82+17.39+3.5+5.33+2.3+2+3.35*3+3*3.5+5*3.5+22.05+3.65*3+15.4+1.75+2.36+7.15+2.35+1.6+1.15+7*3.5+27.45+6.5+3.5+3.98*5+3.81)*H1421</f>
        <v>900.03</v>
      </c>
    </row>
    <row r="1422" spans="1:10" x14ac:dyDescent="0.3">
      <c r="A1422" s="247"/>
      <c r="B1422" s="73"/>
      <c r="C1422" s="74"/>
      <c r="D1422" s="75" t="s">
        <v>492</v>
      </c>
      <c r="E1422" s="82"/>
      <c r="F1422" s="358" t="s">
        <v>661</v>
      </c>
      <c r="G1422" s="359"/>
      <c r="H1422" s="354">
        <v>2.1</v>
      </c>
      <c r="I1422" s="355"/>
      <c r="J1422" s="79">
        <f>-(37*0.8+3*1)*H1422</f>
        <v>-68.460000000000008</v>
      </c>
    </row>
    <row r="1423" spans="1:10" x14ac:dyDescent="0.3">
      <c r="A1423" s="247"/>
      <c r="B1423" s="73"/>
      <c r="C1423" s="74"/>
      <c r="D1423" s="75" t="s">
        <v>493</v>
      </c>
      <c r="E1423" s="82"/>
      <c r="F1423" s="358" t="s">
        <v>509</v>
      </c>
      <c r="G1423" s="359"/>
      <c r="H1423" s="354">
        <v>0.5</v>
      </c>
      <c r="I1423" s="355"/>
      <c r="J1423" s="79">
        <f>-3*0.5*0.5</f>
        <v>-0.75</v>
      </c>
    </row>
    <row r="1424" spans="1:10" x14ac:dyDescent="0.3">
      <c r="A1424" s="247"/>
      <c r="B1424" s="73"/>
      <c r="C1424" s="74"/>
      <c r="D1424" s="75" t="s">
        <v>494</v>
      </c>
      <c r="E1424" s="82"/>
      <c r="F1424" s="358" t="s">
        <v>510</v>
      </c>
      <c r="G1424" s="359"/>
      <c r="H1424" s="354">
        <v>1</v>
      </c>
      <c r="I1424" s="355"/>
      <c r="J1424" s="79">
        <f>-1*2*H1424</f>
        <v>-2</v>
      </c>
    </row>
    <row r="1425" spans="1:10" x14ac:dyDescent="0.3">
      <c r="A1425" s="384" t="s">
        <v>981</v>
      </c>
      <c r="B1425" s="385"/>
      <c r="C1425" s="385"/>
      <c r="D1425" s="385"/>
      <c r="E1425" s="385"/>
      <c r="F1425" s="385"/>
      <c r="G1425" s="385"/>
      <c r="H1425" s="385"/>
      <c r="I1425" s="386"/>
      <c r="J1425" s="76">
        <f>SUM(J1421:J1424)*2</f>
        <v>1657.6399999999999</v>
      </c>
    </row>
    <row r="1426" spans="1:10" x14ac:dyDescent="0.3">
      <c r="A1426" s="251"/>
      <c r="B1426" s="90"/>
      <c r="C1426" s="91"/>
      <c r="D1426" s="86" t="s">
        <v>496</v>
      </c>
      <c r="E1426" s="91"/>
      <c r="F1426" s="358" t="s">
        <v>511</v>
      </c>
      <c r="G1426" s="359"/>
      <c r="H1426" s="354">
        <v>4.37</v>
      </c>
      <c r="I1426" s="355"/>
      <c r="J1426" s="79">
        <f>(32.7*2+2.54*2)*H1426</f>
        <v>307.99760000000003</v>
      </c>
    </row>
    <row r="1427" spans="1:10" x14ac:dyDescent="0.3">
      <c r="A1427" s="247"/>
      <c r="B1427" s="73"/>
      <c r="C1427" s="74"/>
      <c r="D1427" s="75" t="s">
        <v>492</v>
      </c>
      <c r="E1427" s="82"/>
      <c r="F1427" s="358" t="s">
        <v>512</v>
      </c>
      <c r="G1427" s="359"/>
      <c r="H1427" s="354">
        <v>2.1</v>
      </c>
      <c r="I1427" s="355"/>
      <c r="J1427" s="79">
        <f>-18*0.8*H1427</f>
        <v>-30.240000000000002</v>
      </c>
    </row>
    <row r="1428" spans="1:10" x14ac:dyDescent="0.3">
      <c r="A1428" s="247"/>
      <c r="B1428" s="73"/>
      <c r="C1428" s="74"/>
      <c r="D1428" s="75" t="s">
        <v>494</v>
      </c>
      <c r="E1428" s="82"/>
      <c r="F1428" s="358">
        <v>3.5</v>
      </c>
      <c r="G1428" s="359"/>
      <c r="H1428" s="354">
        <v>3</v>
      </c>
      <c r="I1428" s="355"/>
      <c r="J1428" s="76">
        <f>-3.5*3</f>
        <v>-10.5</v>
      </c>
    </row>
    <row r="1429" spans="1:10" x14ac:dyDescent="0.3">
      <c r="A1429" s="384" t="s">
        <v>992</v>
      </c>
      <c r="B1429" s="385"/>
      <c r="C1429" s="385"/>
      <c r="D1429" s="385"/>
      <c r="E1429" s="385"/>
      <c r="F1429" s="385"/>
      <c r="G1429" s="385"/>
      <c r="H1429" s="385"/>
      <c r="I1429" s="386"/>
      <c r="J1429" s="76">
        <f>SUM(J1426:J1428)</f>
        <v>267.25760000000002</v>
      </c>
    </row>
    <row r="1430" spans="1:10" x14ac:dyDescent="0.3">
      <c r="A1430" s="251"/>
      <c r="B1430" s="90"/>
      <c r="C1430" s="91"/>
      <c r="D1430" s="86" t="s">
        <v>496</v>
      </c>
      <c r="E1430" s="91"/>
      <c r="F1430" s="358" t="s">
        <v>511</v>
      </c>
      <c r="G1430" s="359"/>
      <c r="H1430" s="354">
        <v>3</v>
      </c>
      <c r="I1430" s="355"/>
      <c r="J1430" s="76">
        <f>(32.7*2+2.54*2)*H1430</f>
        <v>211.44</v>
      </c>
    </row>
    <row r="1431" spans="1:10" x14ac:dyDescent="0.3">
      <c r="A1431" s="247"/>
      <c r="B1431" s="73"/>
      <c r="C1431" s="74"/>
      <c r="D1431" s="75" t="s">
        <v>492</v>
      </c>
      <c r="E1431" s="82"/>
      <c r="F1431" s="358" t="s">
        <v>512</v>
      </c>
      <c r="G1431" s="359"/>
      <c r="H1431" s="354">
        <v>2.1</v>
      </c>
      <c r="I1431" s="355"/>
      <c r="J1431" s="76">
        <f>-18*0.8*H1431</f>
        <v>-30.240000000000002</v>
      </c>
    </row>
    <row r="1432" spans="1:10" x14ac:dyDescent="0.3">
      <c r="A1432" s="247"/>
      <c r="B1432" s="73"/>
      <c r="C1432" s="74"/>
      <c r="D1432" s="75" t="s">
        <v>494</v>
      </c>
      <c r="E1432" s="82"/>
      <c r="F1432" s="358">
        <v>3.5</v>
      </c>
      <c r="G1432" s="359"/>
      <c r="H1432" s="354">
        <v>3</v>
      </c>
      <c r="I1432" s="355"/>
      <c r="J1432" s="76">
        <f>-3.5*3</f>
        <v>-10.5</v>
      </c>
    </row>
    <row r="1433" spans="1:10" x14ac:dyDescent="0.3">
      <c r="A1433" s="384" t="s">
        <v>992</v>
      </c>
      <c r="B1433" s="385"/>
      <c r="C1433" s="385"/>
      <c r="D1433" s="385"/>
      <c r="E1433" s="385"/>
      <c r="F1433" s="385"/>
      <c r="G1433" s="385"/>
      <c r="H1433" s="385"/>
      <c r="I1433" s="386"/>
      <c r="J1433" s="76">
        <f>SUM(J1430:J1432)</f>
        <v>170.7</v>
      </c>
    </row>
    <row r="1434" spans="1:10" x14ac:dyDescent="0.3">
      <c r="A1434" s="251"/>
      <c r="B1434" s="90"/>
      <c r="C1434" s="91"/>
      <c r="D1434" s="86" t="s">
        <v>497</v>
      </c>
      <c r="E1434" s="91"/>
      <c r="F1434" s="358" t="s">
        <v>499</v>
      </c>
      <c r="G1434" s="359"/>
      <c r="H1434" s="354">
        <v>4.3</v>
      </c>
      <c r="I1434" s="355"/>
      <c r="J1434" s="76">
        <f>(12.4*3+32.12*2)*H1434</f>
        <v>436.19199999999995</v>
      </c>
    </row>
    <row r="1435" spans="1:10" x14ac:dyDescent="0.3">
      <c r="A1435" s="251"/>
      <c r="B1435" s="90"/>
      <c r="C1435" s="91"/>
      <c r="D1435" s="86" t="s">
        <v>500</v>
      </c>
      <c r="E1435" s="91"/>
      <c r="F1435" s="358">
        <v>2.94</v>
      </c>
      <c r="G1435" s="359"/>
      <c r="H1435" s="354">
        <v>3</v>
      </c>
      <c r="I1435" s="355"/>
      <c r="J1435" s="76">
        <f>H1435*F1435</f>
        <v>8.82</v>
      </c>
    </row>
    <row r="1436" spans="1:10" x14ac:dyDescent="0.3">
      <c r="A1436" s="247"/>
      <c r="B1436" s="73"/>
      <c r="C1436" s="74"/>
      <c r="D1436" s="75" t="s">
        <v>492</v>
      </c>
      <c r="E1436" s="82"/>
      <c r="F1436" s="358" t="s">
        <v>498</v>
      </c>
      <c r="G1436" s="359"/>
      <c r="H1436" s="354">
        <v>2.5</v>
      </c>
      <c r="I1436" s="355"/>
      <c r="J1436" s="76">
        <f>-2*2*2.5</f>
        <v>-10</v>
      </c>
    </row>
    <row r="1437" spans="1:10" x14ac:dyDescent="0.3">
      <c r="A1437" s="247"/>
      <c r="B1437" s="73"/>
      <c r="C1437" s="74"/>
      <c r="D1437" s="75" t="s">
        <v>492</v>
      </c>
      <c r="E1437" s="82"/>
      <c r="F1437" s="358" t="s">
        <v>501</v>
      </c>
      <c r="G1437" s="359"/>
      <c r="H1437" s="354">
        <v>2.1</v>
      </c>
      <c r="I1437" s="355"/>
      <c r="J1437" s="76">
        <f>-0.8*4*2.1</f>
        <v>-6.7200000000000006</v>
      </c>
    </row>
    <row r="1438" spans="1:10" x14ac:dyDescent="0.3">
      <c r="A1438" s="247"/>
      <c r="B1438" s="73"/>
      <c r="C1438" s="74"/>
      <c r="D1438" s="75" t="s">
        <v>493</v>
      </c>
      <c r="E1438" s="82"/>
      <c r="F1438" s="358" t="s">
        <v>502</v>
      </c>
      <c r="G1438" s="359"/>
      <c r="H1438" s="354">
        <v>0.5</v>
      </c>
      <c r="I1438" s="355"/>
      <c r="J1438" s="76">
        <f>-3*10*0.5</f>
        <v>-15</v>
      </c>
    </row>
    <row r="1439" spans="1:10" x14ac:dyDescent="0.3">
      <c r="A1439" s="247"/>
      <c r="B1439" s="73"/>
      <c r="C1439" s="74"/>
      <c r="D1439" s="75" t="s">
        <v>493</v>
      </c>
      <c r="E1439" s="82"/>
      <c r="F1439" s="358" t="s">
        <v>503</v>
      </c>
      <c r="G1439" s="359"/>
      <c r="H1439" s="354">
        <v>0.5</v>
      </c>
      <c r="I1439" s="355"/>
      <c r="J1439" s="76">
        <f>-1.6*2*0.5</f>
        <v>-1.6</v>
      </c>
    </row>
    <row r="1440" spans="1:10" x14ac:dyDescent="0.3">
      <c r="A1440" s="384" t="s">
        <v>992</v>
      </c>
      <c r="B1440" s="385"/>
      <c r="C1440" s="385"/>
      <c r="D1440" s="385"/>
      <c r="E1440" s="385"/>
      <c r="F1440" s="385"/>
      <c r="G1440" s="385"/>
      <c r="H1440" s="385"/>
      <c r="I1440" s="386"/>
      <c r="J1440" s="76">
        <f>SUM(J1434:J1439)</f>
        <v>411.69199999999989</v>
      </c>
    </row>
    <row r="1441" spans="1:10" x14ac:dyDescent="0.3">
      <c r="A1441" s="260"/>
      <c r="B1441" s="73"/>
      <c r="C1441" s="73"/>
      <c r="D1441" s="86" t="s">
        <v>1002</v>
      </c>
      <c r="E1441" s="73"/>
      <c r="F1441" s="358">
        <f>F1477</f>
        <v>856.32000000000039</v>
      </c>
      <c r="G1441" s="387"/>
      <c r="H1441" s="387"/>
      <c r="I1441" s="359"/>
      <c r="J1441" s="76">
        <f>-F1441</f>
        <v>-856.32000000000039</v>
      </c>
    </row>
    <row r="1442" spans="1:10" ht="15" thickBot="1" x14ac:dyDescent="0.35">
      <c r="A1442" s="364" t="s">
        <v>64</v>
      </c>
      <c r="B1442" s="365"/>
      <c r="C1442" s="365"/>
      <c r="D1442" s="365"/>
      <c r="E1442" s="365"/>
      <c r="F1442" s="365"/>
      <c r="G1442" s="365"/>
      <c r="H1442" s="365"/>
      <c r="I1442" s="366"/>
      <c r="J1442" s="275">
        <f>J1420+J1425+J1441+J1440+J1433+J1429</f>
        <v>2444.4795999999992</v>
      </c>
    </row>
    <row r="1443" spans="1:10" x14ac:dyDescent="0.3">
      <c r="A1443" s="247" t="str">
        <f>ORÇAMENTO!A463</f>
        <v>22.5</v>
      </c>
      <c r="B1443" s="73" t="str">
        <f>ORÇAMENTO!B463</f>
        <v>GOINFRA</v>
      </c>
      <c r="C1443" s="74">
        <f>ORÇAMENTO!C463</f>
        <v>261302</v>
      </c>
      <c r="D1443" s="75" t="str">
        <f>ORÇAMENTO!D463</f>
        <v xml:space="preserve">PINTURA LATEX DUAS DEMAOS COM SELADOR </v>
      </c>
      <c r="E1443" s="74" t="str">
        <f>ORÇAMENTO!F463</f>
        <v>m2</v>
      </c>
      <c r="F1443" s="377" t="s">
        <v>101</v>
      </c>
      <c r="G1443" s="378"/>
      <c r="H1443" s="371" t="s">
        <v>118</v>
      </c>
      <c r="I1443" s="373"/>
      <c r="J1443" s="79" t="s">
        <v>86</v>
      </c>
    </row>
    <row r="1444" spans="1:10" ht="40.5" customHeight="1" x14ac:dyDescent="0.3">
      <c r="A1444" s="247"/>
      <c r="B1444" s="73"/>
      <c r="C1444" s="74"/>
      <c r="D1444" s="75" t="s">
        <v>491</v>
      </c>
      <c r="E1444" s="82"/>
      <c r="F1444" s="358" t="s">
        <v>873</v>
      </c>
      <c r="G1444" s="359"/>
      <c r="H1444" s="354">
        <v>3</v>
      </c>
      <c r="I1444" s="355"/>
      <c r="J1444" s="79">
        <f>(7.15+10.14+44.13+49.74+44.13+6.8+33.37+32.8+40.48+18+18+3.98+3.98)*H1444</f>
        <v>938.10000000000014</v>
      </c>
    </row>
    <row r="1445" spans="1:10" x14ac:dyDescent="0.3">
      <c r="A1445" s="247"/>
      <c r="B1445" s="73"/>
      <c r="C1445" s="74"/>
      <c r="D1445" s="75" t="s">
        <v>492</v>
      </c>
      <c r="E1445" s="82"/>
      <c r="F1445" s="358" t="s">
        <v>504</v>
      </c>
      <c r="G1445" s="359"/>
      <c r="H1445" s="354">
        <v>2.1</v>
      </c>
      <c r="I1445" s="355"/>
      <c r="J1445" s="79">
        <f>-(1+6*0.8+3+2*3.5)*H1445</f>
        <v>-33.18</v>
      </c>
    </row>
    <row r="1446" spans="1:10" x14ac:dyDescent="0.3">
      <c r="A1446" s="247"/>
      <c r="B1446" s="73"/>
      <c r="C1446" s="74"/>
      <c r="D1446" s="75" t="s">
        <v>493</v>
      </c>
      <c r="E1446" s="82"/>
      <c r="F1446" s="358" t="s">
        <v>505</v>
      </c>
      <c r="G1446" s="359"/>
      <c r="H1446" s="354">
        <v>0.5</v>
      </c>
      <c r="I1446" s="355"/>
      <c r="J1446" s="79">
        <f>-6*1.6*0.5</f>
        <v>-4.8000000000000007</v>
      </c>
    </row>
    <row r="1447" spans="1:10" x14ac:dyDescent="0.3">
      <c r="A1447" s="247"/>
      <c r="B1447" s="73"/>
      <c r="C1447" s="74"/>
      <c r="D1447" s="75" t="s">
        <v>493</v>
      </c>
      <c r="E1447" s="82"/>
      <c r="F1447" s="358" t="s">
        <v>506</v>
      </c>
      <c r="G1447" s="359"/>
      <c r="H1447" s="354">
        <v>1.1000000000000001</v>
      </c>
      <c r="I1447" s="355"/>
      <c r="J1447" s="79">
        <f>-24*1.8*1.1</f>
        <v>-47.52000000000001</v>
      </c>
    </row>
    <row r="1448" spans="1:10" x14ac:dyDescent="0.3">
      <c r="A1448" s="247"/>
      <c r="B1448" s="73"/>
      <c r="C1448" s="74"/>
      <c r="D1448" s="75" t="s">
        <v>493</v>
      </c>
      <c r="E1448" s="82"/>
      <c r="F1448" s="358">
        <v>1.7</v>
      </c>
      <c r="G1448" s="359"/>
      <c r="H1448" s="354">
        <v>1</v>
      </c>
      <c r="I1448" s="355"/>
      <c r="J1448" s="79">
        <f>-1.7*1</f>
        <v>-1.7</v>
      </c>
    </row>
    <row r="1449" spans="1:10" x14ac:dyDescent="0.3">
      <c r="A1449" s="247"/>
      <c r="B1449" s="73"/>
      <c r="C1449" s="74"/>
      <c r="D1449" s="75" t="s">
        <v>493</v>
      </c>
      <c r="E1449" s="82"/>
      <c r="F1449" s="358" t="s">
        <v>507</v>
      </c>
      <c r="G1449" s="359"/>
      <c r="H1449" s="354">
        <v>0.5</v>
      </c>
      <c r="I1449" s="355"/>
      <c r="J1449" s="79">
        <f>-13*0.5*0.5</f>
        <v>-3.25</v>
      </c>
    </row>
    <row r="1450" spans="1:10" x14ac:dyDescent="0.3">
      <c r="A1450" s="247"/>
      <c r="B1450" s="73"/>
      <c r="C1450" s="74"/>
      <c r="D1450" s="75" t="s">
        <v>493</v>
      </c>
      <c r="E1450" s="82"/>
      <c r="F1450" s="358" t="s">
        <v>508</v>
      </c>
      <c r="G1450" s="359"/>
      <c r="H1450" s="354">
        <v>1.1000000000000001</v>
      </c>
      <c r="I1450" s="355"/>
      <c r="J1450" s="79">
        <f>-15*1.6*1.1</f>
        <v>-26.400000000000002</v>
      </c>
    </row>
    <row r="1451" spans="1:10" x14ac:dyDescent="0.3">
      <c r="A1451" s="247"/>
      <c r="B1451" s="73"/>
      <c r="C1451" s="74"/>
      <c r="D1451" s="75" t="s">
        <v>493</v>
      </c>
      <c r="E1451" s="82"/>
      <c r="F1451" s="358" t="s">
        <v>508</v>
      </c>
      <c r="G1451" s="359"/>
      <c r="H1451" s="354">
        <v>0.5</v>
      </c>
      <c r="I1451" s="355"/>
      <c r="J1451" s="79">
        <f>-15*1.6*0.5</f>
        <v>-12</v>
      </c>
    </row>
    <row r="1452" spans="1:10" x14ac:dyDescent="0.3">
      <c r="A1452" s="247"/>
      <c r="B1452" s="73"/>
      <c r="C1452" s="74"/>
      <c r="D1452" s="75" t="s">
        <v>494</v>
      </c>
      <c r="E1452" s="82"/>
      <c r="F1452" s="358">
        <v>3.6</v>
      </c>
      <c r="G1452" s="359"/>
      <c r="H1452" s="354">
        <v>1.65</v>
      </c>
      <c r="I1452" s="355"/>
      <c r="J1452" s="79">
        <f>-H1452*F1452</f>
        <v>-5.9399999999999995</v>
      </c>
    </row>
    <row r="1453" spans="1:10" x14ac:dyDescent="0.3">
      <c r="A1453" s="247"/>
      <c r="B1453" s="73"/>
      <c r="C1453" s="74"/>
      <c r="D1453" s="75" t="s">
        <v>494</v>
      </c>
      <c r="E1453" s="82"/>
      <c r="F1453" s="358">
        <v>2</v>
      </c>
      <c r="G1453" s="359"/>
      <c r="H1453" s="354">
        <v>1</v>
      </c>
      <c r="I1453" s="355"/>
      <c r="J1453" s="79">
        <f>-H1453*F1453</f>
        <v>-2</v>
      </c>
    </row>
    <row r="1454" spans="1:10" x14ac:dyDescent="0.3">
      <c r="A1454" s="247"/>
      <c r="B1454" s="73"/>
      <c r="C1454" s="74"/>
      <c r="D1454" s="75" t="s">
        <v>494</v>
      </c>
      <c r="E1454" s="82"/>
      <c r="F1454" s="358">
        <v>3</v>
      </c>
      <c r="G1454" s="359"/>
      <c r="H1454" s="354">
        <v>2.6</v>
      </c>
      <c r="I1454" s="355"/>
      <c r="J1454" s="79">
        <f>-H1454*F1454</f>
        <v>-7.8000000000000007</v>
      </c>
    </row>
    <row r="1455" spans="1:10" x14ac:dyDescent="0.3">
      <c r="A1455" s="384" t="s">
        <v>992</v>
      </c>
      <c r="B1455" s="385"/>
      <c r="C1455" s="385"/>
      <c r="D1455" s="385"/>
      <c r="E1455" s="385"/>
      <c r="F1455" s="385"/>
      <c r="G1455" s="385"/>
      <c r="H1455" s="385"/>
      <c r="I1455" s="386"/>
      <c r="J1455" s="76">
        <f>SUM(J1444:J1454)</f>
        <v>793.51000000000022</v>
      </c>
    </row>
    <row r="1456" spans="1:10" x14ac:dyDescent="0.3">
      <c r="A1456" s="251"/>
      <c r="B1456" s="90"/>
      <c r="C1456" s="91"/>
      <c r="D1456" s="86" t="s">
        <v>495</v>
      </c>
      <c r="E1456" s="91"/>
      <c r="F1456" s="358" t="s">
        <v>874</v>
      </c>
      <c r="G1456" s="359"/>
      <c r="H1456" s="354">
        <v>3</v>
      </c>
      <c r="I1456" s="355"/>
      <c r="J1456" s="79">
        <f>(18*3.5+3.5+3.5+3.5+3.5+2.2+1.82+17.39+3.5+5.33+2.3+2+3.35*3+3*3.5+5*3.5+22.05+3.65*3+15.4+1.75+2.36+7.15+2.35+1.6+1.15+7*3.5+27.45+6.5+3.5+3.98*5+3.81)*H1456</f>
        <v>900.03</v>
      </c>
    </row>
    <row r="1457" spans="1:10" x14ac:dyDescent="0.3">
      <c r="A1457" s="247"/>
      <c r="B1457" s="73"/>
      <c r="C1457" s="74"/>
      <c r="D1457" s="75" t="s">
        <v>492</v>
      </c>
      <c r="E1457" s="82"/>
      <c r="F1457" s="358" t="s">
        <v>661</v>
      </c>
      <c r="G1457" s="359"/>
      <c r="H1457" s="354">
        <v>2.1</v>
      </c>
      <c r="I1457" s="355"/>
      <c r="J1457" s="79">
        <f>-(37*0.8+3*1)*H1457</f>
        <v>-68.460000000000008</v>
      </c>
    </row>
    <row r="1458" spans="1:10" x14ac:dyDescent="0.3">
      <c r="A1458" s="247"/>
      <c r="B1458" s="73"/>
      <c r="C1458" s="74"/>
      <c r="D1458" s="75" t="s">
        <v>493</v>
      </c>
      <c r="E1458" s="82"/>
      <c r="F1458" s="358" t="s">
        <v>509</v>
      </c>
      <c r="G1458" s="359"/>
      <c r="H1458" s="354">
        <v>0.5</v>
      </c>
      <c r="I1458" s="355"/>
      <c r="J1458" s="79">
        <f>-3*0.5*0.5</f>
        <v>-0.75</v>
      </c>
    </row>
    <row r="1459" spans="1:10" x14ac:dyDescent="0.3">
      <c r="A1459" s="247"/>
      <c r="B1459" s="73"/>
      <c r="C1459" s="74"/>
      <c r="D1459" s="75" t="s">
        <v>494</v>
      </c>
      <c r="E1459" s="82"/>
      <c r="F1459" s="358" t="s">
        <v>510</v>
      </c>
      <c r="G1459" s="359"/>
      <c r="H1459" s="354">
        <v>1</v>
      </c>
      <c r="I1459" s="355"/>
      <c r="J1459" s="79">
        <f>-1*2*H1459</f>
        <v>-2</v>
      </c>
    </row>
    <row r="1460" spans="1:10" x14ac:dyDescent="0.3">
      <c r="A1460" s="384" t="s">
        <v>981</v>
      </c>
      <c r="B1460" s="385"/>
      <c r="C1460" s="385"/>
      <c r="D1460" s="385"/>
      <c r="E1460" s="385"/>
      <c r="F1460" s="385"/>
      <c r="G1460" s="385"/>
      <c r="H1460" s="385"/>
      <c r="I1460" s="386"/>
      <c r="J1460" s="76">
        <f>SUM(J1456:J1459)*2</f>
        <v>1657.6399999999999</v>
      </c>
    </row>
    <row r="1461" spans="1:10" x14ac:dyDescent="0.3">
      <c r="A1461" s="251"/>
      <c r="B1461" s="90"/>
      <c r="C1461" s="91"/>
      <c r="D1461" s="86" t="s">
        <v>496</v>
      </c>
      <c r="E1461" s="91"/>
      <c r="F1461" s="358" t="s">
        <v>511</v>
      </c>
      <c r="G1461" s="359"/>
      <c r="H1461" s="354">
        <v>4.37</v>
      </c>
      <c r="I1461" s="355"/>
      <c r="J1461" s="79">
        <f>(32.7*2+2.54*2)*H1461</f>
        <v>307.99760000000003</v>
      </c>
    </row>
    <row r="1462" spans="1:10" x14ac:dyDescent="0.3">
      <c r="A1462" s="247"/>
      <c r="B1462" s="73"/>
      <c r="C1462" s="74"/>
      <c r="D1462" s="75" t="s">
        <v>492</v>
      </c>
      <c r="E1462" s="82"/>
      <c r="F1462" s="358" t="s">
        <v>512</v>
      </c>
      <c r="G1462" s="359"/>
      <c r="H1462" s="354">
        <v>2.1</v>
      </c>
      <c r="I1462" s="355"/>
      <c r="J1462" s="79">
        <f>-18*0.8*H1462</f>
        <v>-30.240000000000002</v>
      </c>
    </row>
    <row r="1463" spans="1:10" x14ac:dyDescent="0.3">
      <c r="A1463" s="247"/>
      <c r="B1463" s="73"/>
      <c r="C1463" s="74"/>
      <c r="D1463" s="75" t="s">
        <v>494</v>
      </c>
      <c r="E1463" s="82"/>
      <c r="F1463" s="358">
        <v>3.5</v>
      </c>
      <c r="G1463" s="359"/>
      <c r="H1463" s="354">
        <v>3</v>
      </c>
      <c r="I1463" s="355"/>
      <c r="J1463" s="76">
        <f>-3.5*3</f>
        <v>-10.5</v>
      </c>
    </row>
    <row r="1464" spans="1:10" x14ac:dyDescent="0.3">
      <c r="A1464" s="384" t="s">
        <v>992</v>
      </c>
      <c r="B1464" s="385"/>
      <c r="C1464" s="385"/>
      <c r="D1464" s="385"/>
      <c r="E1464" s="385"/>
      <c r="F1464" s="385"/>
      <c r="G1464" s="385"/>
      <c r="H1464" s="385"/>
      <c r="I1464" s="386"/>
      <c r="J1464" s="76">
        <f>SUM(J1461:J1463)</f>
        <v>267.25760000000002</v>
      </c>
    </row>
    <row r="1465" spans="1:10" x14ac:dyDescent="0.3">
      <c r="A1465" s="251"/>
      <c r="B1465" s="90"/>
      <c r="C1465" s="91"/>
      <c r="D1465" s="86" t="s">
        <v>496</v>
      </c>
      <c r="E1465" s="91"/>
      <c r="F1465" s="358" t="s">
        <v>511</v>
      </c>
      <c r="G1465" s="359"/>
      <c r="H1465" s="354">
        <v>3</v>
      </c>
      <c r="I1465" s="355"/>
      <c r="J1465" s="76">
        <f>(32.7*2+2.54*2)*H1465</f>
        <v>211.44</v>
      </c>
    </row>
    <row r="1466" spans="1:10" x14ac:dyDescent="0.3">
      <c r="A1466" s="247"/>
      <c r="B1466" s="73"/>
      <c r="C1466" s="74"/>
      <c r="D1466" s="75" t="s">
        <v>492</v>
      </c>
      <c r="E1466" s="82"/>
      <c r="F1466" s="358" t="s">
        <v>512</v>
      </c>
      <c r="G1466" s="359"/>
      <c r="H1466" s="354">
        <v>2.1</v>
      </c>
      <c r="I1466" s="355"/>
      <c r="J1466" s="76">
        <f>-18*0.8*H1466</f>
        <v>-30.240000000000002</v>
      </c>
    </row>
    <row r="1467" spans="1:10" x14ac:dyDescent="0.3">
      <c r="A1467" s="247"/>
      <c r="B1467" s="73"/>
      <c r="C1467" s="74"/>
      <c r="D1467" s="75" t="s">
        <v>494</v>
      </c>
      <c r="E1467" s="82"/>
      <c r="F1467" s="358">
        <v>3.5</v>
      </c>
      <c r="G1467" s="359"/>
      <c r="H1467" s="354">
        <v>3</v>
      </c>
      <c r="I1467" s="355"/>
      <c r="J1467" s="76">
        <f>-3.5*3</f>
        <v>-10.5</v>
      </c>
    </row>
    <row r="1468" spans="1:10" x14ac:dyDescent="0.3">
      <c r="A1468" s="384" t="s">
        <v>992</v>
      </c>
      <c r="B1468" s="385"/>
      <c r="C1468" s="385"/>
      <c r="D1468" s="385"/>
      <c r="E1468" s="385"/>
      <c r="F1468" s="385"/>
      <c r="G1468" s="385"/>
      <c r="H1468" s="385"/>
      <c r="I1468" s="386"/>
      <c r="J1468" s="76">
        <f>SUM(J1465:J1467)</f>
        <v>170.7</v>
      </c>
    </row>
    <row r="1469" spans="1:10" x14ac:dyDescent="0.3">
      <c r="A1469" s="251"/>
      <c r="B1469" s="90"/>
      <c r="C1469" s="91"/>
      <c r="D1469" s="86" t="s">
        <v>497</v>
      </c>
      <c r="E1469" s="91"/>
      <c r="F1469" s="358" t="s">
        <v>499</v>
      </c>
      <c r="G1469" s="359"/>
      <c r="H1469" s="354">
        <v>4.3</v>
      </c>
      <c r="I1469" s="355"/>
      <c r="J1469" s="76">
        <f>(12.4*3+32.12*2)*H1469</f>
        <v>436.19199999999995</v>
      </c>
    </row>
    <row r="1470" spans="1:10" x14ac:dyDescent="0.3">
      <c r="A1470" s="251"/>
      <c r="B1470" s="90"/>
      <c r="C1470" s="91"/>
      <c r="D1470" s="86" t="s">
        <v>500</v>
      </c>
      <c r="E1470" s="91"/>
      <c r="F1470" s="358">
        <v>2.94</v>
      </c>
      <c r="G1470" s="359"/>
      <c r="H1470" s="354">
        <v>3</v>
      </c>
      <c r="I1470" s="355"/>
      <c r="J1470" s="76">
        <f>H1470*F1470</f>
        <v>8.82</v>
      </c>
    </row>
    <row r="1471" spans="1:10" x14ac:dyDescent="0.3">
      <c r="A1471" s="247"/>
      <c r="B1471" s="73"/>
      <c r="C1471" s="74"/>
      <c r="D1471" s="75" t="s">
        <v>492</v>
      </c>
      <c r="E1471" s="82"/>
      <c r="F1471" s="358" t="s">
        <v>498</v>
      </c>
      <c r="G1471" s="359"/>
      <c r="H1471" s="354">
        <v>2.5</v>
      </c>
      <c r="I1471" s="355"/>
      <c r="J1471" s="76">
        <f>-2*2*2.5</f>
        <v>-10</v>
      </c>
    </row>
    <row r="1472" spans="1:10" x14ac:dyDescent="0.3">
      <c r="A1472" s="247"/>
      <c r="B1472" s="73"/>
      <c r="C1472" s="74"/>
      <c r="D1472" s="75" t="s">
        <v>492</v>
      </c>
      <c r="E1472" s="82"/>
      <c r="F1472" s="358" t="s">
        <v>501</v>
      </c>
      <c r="G1472" s="359"/>
      <c r="H1472" s="354">
        <v>2.1</v>
      </c>
      <c r="I1472" s="355"/>
      <c r="J1472" s="76">
        <f>-0.8*4*2.1</f>
        <v>-6.7200000000000006</v>
      </c>
    </row>
    <row r="1473" spans="1:11" x14ac:dyDescent="0.3">
      <c r="A1473" s="247"/>
      <c r="B1473" s="73"/>
      <c r="C1473" s="74"/>
      <c r="D1473" s="75" t="s">
        <v>493</v>
      </c>
      <c r="E1473" s="82"/>
      <c r="F1473" s="358" t="s">
        <v>502</v>
      </c>
      <c r="G1473" s="359"/>
      <c r="H1473" s="354">
        <v>0.5</v>
      </c>
      <c r="I1473" s="355"/>
      <c r="J1473" s="76">
        <f>-3*10*0.5</f>
        <v>-15</v>
      </c>
    </row>
    <row r="1474" spans="1:11" x14ac:dyDescent="0.3">
      <c r="A1474" s="247"/>
      <c r="B1474" s="73"/>
      <c r="C1474" s="74"/>
      <c r="D1474" s="75" t="s">
        <v>493</v>
      </c>
      <c r="E1474" s="82"/>
      <c r="F1474" s="358" t="s">
        <v>503</v>
      </c>
      <c r="G1474" s="359"/>
      <c r="H1474" s="354">
        <v>0.5</v>
      </c>
      <c r="I1474" s="355"/>
      <c r="J1474" s="76">
        <f>-1.6*2*0.5</f>
        <v>-1.6</v>
      </c>
    </row>
    <row r="1475" spans="1:11" x14ac:dyDescent="0.3">
      <c r="A1475" s="384" t="s">
        <v>992</v>
      </c>
      <c r="B1475" s="385"/>
      <c r="C1475" s="385"/>
      <c r="D1475" s="385"/>
      <c r="E1475" s="385"/>
      <c r="F1475" s="385"/>
      <c r="G1475" s="385"/>
      <c r="H1475" s="385"/>
      <c r="I1475" s="386"/>
      <c r="J1475" s="76">
        <f>SUM(J1469:J1474)</f>
        <v>411.69199999999989</v>
      </c>
      <c r="K1475" s="108"/>
    </row>
    <row r="1476" spans="1:11" x14ac:dyDescent="0.3">
      <c r="A1476" s="260"/>
      <c r="B1476" s="73"/>
      <c r="C1476" s="73"/>
      <c r="D1476" s="86" t="s">
        <v>1001</v>
      </c>
      <c r="E1476" s="73"/>
      <c r="F1476" s="358">
        <f>J1507</f>
        <v>780.90000000000009</v>
      </c>
      <c r="G1476" s="387"/>
      <c r="H1476" s="387"/>
      <c r="I1476" s="359"/>
      <c r="J1476" s="76">
        <f>-F1476</f>
        <v>-780.90000000000009</v>
      </c>
    </row>
    <row r="1477" spans="1:11" x14ac:dyDescent="0.3">
      <c r="A1477" s="260"/>
      <c r="B1477" s="73"/>
      <c r="C1477" s="73"/>
      <c r="D1477" s="86" t="s">
        <v>1002</v>
      </c>
      <c r="E1477" s="73"/>
      <c r="F1477" s="358">
        <f>J1056</f>
        <v>856.32000000000039</v>
      </c>
      <c r="G1477" s="387"/>
      <c r="H1477" s="387"/>
      <c r="I1477" s="359"/>
      <c r="J1477" s="76">
        <f>-F1477</f>
        <v>-856.32000000000039</v>
      </c>
    </row>
    <row r="1478" spans="1:11" x14ac:dyDescent="0.3">
      <c r="A1478" s="261"/>
      <c r="B1478" s="119"/>
      <c r="C1478" s="119"/>
      <c r="D1478" s="86" t="s">
        <v>1003</v>
      </c>
      <c r="E1478" s="73"/>
      <c r="F1478" s="358">
        <f>J1064+J1130</f>
        <v>1112.2399999999998</v>
      </c>
      <c r="G1478" s="387"/>
      <c r="H1478" s="387"/>
      <c r="I1478" s="359"/>
      <c r="J1478" s="76">
        <f>F1478</f>
        <v>1112.2399999999998</v>
      </c>
    </row>
    <row r="1479" spans="1:11" ht="15" thickBot="1" x14ac:dyDescent="0.35">
      <c r="A1479" s="364" t="s">
        <v>64</v>
      </c>
      <c r="B1479" s="365"/>
      <c r="C1479" s="365"/>
      <c r="D1479" s="365"/>
      <c r="E1479" s="365"/>
      <c r="F1479" s="365"/>
      <c r="G1479" s="365"/>
      <c r="H1479" s="365"/>
      <c r="I1479" s="366"/>
      <c r="J1479" s="275">
        <f>J1478+J1477+J1476+J1468+J1475+J1464+J1460+J1455</f>
        <v>2775.8195999999994</v>
      </c>
    </row>
    <row r="1480" spans="1:11" x14ac:dyDescent="0.3">
      <c r="A1480" s="247" t="str">
        <f>ORÇAMENTO!A464</f>
        <v>22.6</v>
      </c>
      <c r="B1480" s="73" t="str">
        <f>ORÇAMENTO!B464</f>
        <v>GOINFRA</v>
      </c>
      <c r="C1480" s="74">
        <f>ORÇAMENTO!C464</f>
        <v>261504</v>
      </c>
      <c r="D1480" s="75" t="str">
        <f>ORÇAMENTO!D464</f>
        <v xml:space="preserve"> PINTURA ESMALTE 1 DEMÃO ESQUADRIA METALICA S/FUNDO ANTICORR.</v>
      </c>
      <c r="E1480" s="74" t="str">
        <f>ORÇAMENTO!F464</f>
        <v>m2</v>
      </c>
      <c r="F1480" s="377" t="s">
        <v>88</v>
      </c>
      <c r="G1480" s="378"/>
      <c r="H1480" s="371" t="s">
        <v>1008</v>
      </c>
      <c r="I1480" s="373"/>
      <c r="J1480" s="79" t="s">
        <v>86</v>
      </c>
    </row>
    <row r="1481" spans="1:11" x14ac:dyDescent="0.3">
      <c r="A1481" s="247"/>
      <c r="B1481" s="73"/>
      <c r="C1481" s="74"/>
      <c r="D1481" s="122" t="s">
        <v>1009</v>
      </c>
      <c r="E1481" s="107"/>
      <c r="F1481" s="356">
        <f>J797</f>
        <v>21</v>
      </c>
      <c r="G1481" s="357"/>
      <c r="H1481" s="351">
        <v>3</v>
      </c>
      <c r="I1481" s="353"/>
      <c r="J1481" s="79">
        <f>H1481*F1481</f>
        <v>63</v>
      </c>
    </row>
    <row r="1482" spans="1:11" x14ac:dyDescent="0.3">
      <c r="A1482" s="247"/>
      <c r="B1482" s="73"/>
      <c r="C1482" s="74"/>
      <c r="D1482" s="122" t="s">
        <v>1010</v>
      </c>
      <c r="E1482" s="107"/>
      <c r="F1482" s="356">
        <f>J807</f>
        <v>12.000000000000002</v>
      </c>
      <c r="G1482" s="357"/>
      <c r="H1482" s="351">
        <v>2</v>
      </c>
      <c r="I1482" s="353"/>
      <c r="J1482" s="79">
        <f t="shared" ref="J1482:J1490" si="19">H1482*F1482</f>
        <v>24.000000000000004</v>
      </c>
    </row>
    <row r="1483" spans="1:11" x14ac:dyDescent="0.3">
      <c r="A1483" s="247"/>
      <c r="B1483" s="73"/>
      <c r="C1483" s="74"/>
      <c r="D1483" s="122" t="s">
        <v>1011</v>
      </c>
      <c r="E1483" s="107"/>
      <c r="F1483" s="356">
        <f>J843</f>
        <v>75.789999999999964</v>
      </c>
      <c r="G1483" s="357"/>
      <c r="H1483" s="351">
        <v>2</v>
      </c>
      <c r="I1483" s="353"/>
      <c r="J1483" s="79">
        <f t="shared" si="19"/>
        <v>151.57999999999993</v>
      </c>
    </row>
    <row r="1484" spans="1:11" x14ac:dyDescent="0.3">
      <c r="A1484" s="247"/>
      <c r="B1484" s="73"/>
      <c r="C1484" s="74"/>
      <c r="D1484" s="122" t="s">
        <v>1012</v>
      </c>
      <c r="E1484" s="107"/>
      <c r="F1484" s="356">
        <f>J845</f>
        <v>15</v>
      </c>
      <c r="G1484" s="357"/>
      <c r="H1484" s="351">
        <v>2</v>
      </c>
      <c r="I1484" s="353"/>
      <c r="J1484" s="79">
        <f t="shared" si="19"/>
        <v>30</v>
      </c>
    </row>
    <row r="1485" spans="1:11" x14ac:dyDescent="0.3">
      <c r="A1485" s="247"/>
      <c r="B1485" s="73"/>
      <c r="C1485" s="74"/>
      <c r="D1485" s="122" t="s">
        <v>1013</v>
      </c>
      <c r="E1485" s="107"/>
      <c r="F1485" s="356">
        <f>J853</f>
        <v>6.3999999999999995</v>
      </c>
      <c r="G1485" s="357"/>
      <c r="H1485" s="351">
        <v>2</v>
      </c>
      <c r="I1485" s="353"/>
      <c r="J1485" s="79">
        <f t="shared" si="19"/>
        <v>12.799999999999999</v>
      </c>
    </row>
    <row r="1486" spans="1:11" x14ac:dyDescent="0.3">
      <c r="A1486" s="247"/>
      <c r="B1486" s="73"/>
      <c r="C1486" s="74"/>
      <c r="D1486" s="122" t="s">
        <v>1014</v>
      </c>
      <c r="E1486" s="107"/>
      <c r="F1486" s="356">
        <f>J872</f>
        <v>9.94</v>
      </c>
      <c r="G1486" s="357"/>
      <c r="H1486" s="351">
        <v>2</v>
      </c>
      <c r="I1486" s="353"/>
      <c r="J1486" s="79">
        <f t="shared" si="19"/>
        <v>19.88</v>
      </c>
    </row>
    <row r="1487" spans="1:11" x14ac:dyDescent="0.3">
      <c r="A1487" s="247"/>
      <c r="B1487" s="73"/>
      <c r="C1487" s="74"/>
      <c r="D1487" s="122" t="s">
        <v>892</v>
      </c>
      <c r="E1487" s="107"/>
      <c r="F1487" s="356">
        <f>J877</f>
        <v>21.000000000000004</v>
      </c>
      <c r="G1487" s="357"/>
      <c r="H1487" s="351">
        <v>3</v>
      </c>
      <c r="I1487" s="353"/>
      <c r="J1487" s="79">
        <f t="shared" si="19"/>
        <v>63.000000000000014</v>
      </c>
    </row>
    <row r="1488" spans="1:11" x14ac:dyDescent="0.3">
      <c r="A1488" s="247"/>
      <c r="B1488" s="73"/>
      <c r="C1488" s="74"/>
      <c r="D1488" s="122" t="s">
        <v>1016</v>
      </c>
      <c r="E1488" s="82"/>
      <c r="F1488" s="358">
        <f>J884</f>
        <v>10.5</v>
      </c>
      <c r="G1488" s="359"/>
      <c r="H1488" s="354">
        <v>3</v>
      </c>
      <c r="I1488" s="355"/>
      <c r="J1488" s="79">
        <f t="shared" si="19"/>
        <v>31.5</v>
      </c>
    </row>
    <row r="1489" spans="1:10" x14ac:dyDescent="0.3">
      <c r="A1489" s="258"/>
      <c r="B1489" s="119"/>
      <c r="C1489" s="120"/>
      <c r="D1489" s="122" t="s">
        <v>1015</v>
      </c>
      <c r="E1489" s="78"/>
      <c r="F1489" s="358">
        <f>J881</f>
        <v>49.769999999999996</v>
      </c>
      <c r="G1489" s="359"/>
      <c r="H1489" s="351">
        <v>2</v>
      </c>
      <c r="I1489" s="353"/>
      <c r="J1489" s="79">
        <f t="shared" si="19"/>
        <v>99.539999999999992</v>
      </c>
    </row>
    <row r="1490" spans="1:10" x14ac:dyDescent="0.3">
      <c r="A1490" s="258"/>
      <c r="B1490" s="119"/>
      <c r="C1490" s="120"/>
      <c r="D1490" s="122" t="s">
        <v>1474</v>
      </c>
      <c r="E1490" s="78"/>
      <c r="F1490" s="358">
        <f>J894</f>
        <v>39.419999999999995</v>
      </c>
      <c r="G1490" s="359"/>
      <c r="H1490" s="354">
        <v>3</v>
      </c>
      <c r="I1490" s="355"/>
      <c r="J1490" s="79">
        <f t="shared" si="19"/>
        <v>118.25999999999999</v>
      </c>
    </row>
    <row r="1491" spans="1:10" x14ac:dyDescent="0.3">
      <c r="A1491" s="247"/>
      <c r="B1491" s="73"/>
      <c r="C1491" s="74"/>
      <c r="D1491" s="86" t="s">
        <v>1125</v>
      </c>
      <c r="E1491" s="105"/>
      <c r="F1491" s="358" t="s">
        <v>1558</v>
      </c>
      <c r="G1491" s="359"/>
      <c r="H1491" s="354">
        <v>5</v>
      </c>
      <c r="I1491" s="355"/>
      <c r="J1491" s="76">
        <f>(16.1+16.1+3+3+3+3)*H1491*2</f>
        <v>442</v>
      </c>
    </row>
    <row r="1492" spans="1:10" ht="15" thickBot="1" x14ac:dyDescent="0.35">
      <c r="A1492" s="364" t="s">
        <v>64</v>
      </c>
      <c r="B1492" s="365"/>
      <c r="C1492" s="365"/>
      <c r="D1492" s="365"/>
      <c r="E1492" s="365"/>
      <c r="F1492" s="365"/>
      <c r="G1492" s="365"/>
      <c r="H1492" s="365"/>
      <c r="I1492" s="366"/>
      <c r="J1492" s="275">
        <f>SUM(J1481:J1491)</f>
        <v>1055.56</v>
      </c>
    </row>
    <row r="1493" spans="1:10" x14ac:dyDescent="0.3">
      <c r="A1493" s="247" t="str">
        <f>ORÇAMENTO!A465</f>
        <v>22.7</v>
      </c>
      <c r="B1493" s="73" t="str">
        <f>ORÇAMENTO!B465</f>
        <v>GOINFRA</v>
      </c>
      <c r="C1493" s="74">
        <f>ORÇAMENTO!C465</f>
        <v>261548</v>
      </c>
      <c r="D1493" s="75" t="str">
        <f>ORÇAMENTO!D465</f>
        <v xml:space="preserve">PINTURA ESMALTE 1 DEMÃO EM PAREDE SEM SELADOR </v>
      </c>
      <c r="E1493" s="74" t="str">
        <f>ORÇAMENTO!F465</f>
        <v>m2</v>
      </c>
      <c r="F1493" s="377" t="s">
        <v>101</v>
      </c>
      <c r="G1493" s="378"/>
      <c r="H1493" s="371" t="s">
        <v>118</v>
      </c>
      <c r="I1493" s="373"/>
      <c r="J1493" s="79" t="s">
        <v>86</v>
      </c>
    </row>
    <row r="1494" spans="1:10" ht="52.5" customHeight="1" x14ac:dyDescent="0.3">
      <c r="A1494" s="247"/>
      <c r="B1494" s="73"/>
      <c r="C1494" s="74"/>
      <c r="D1494" s="75" t="s">
        <v>904</v>
      </c>
      <c r="E1494" s="82"/>
      <c r="F1494" s="358" t="s">
        <v>993</v>
      </c>
      <c r="G1494" s="359"/>
      <c r="H1494" s="354">
        <v>1.5</v>
      </c>
      <c r="I1494" s="355"/>
      <c r="J1494" s="79">
        <f>(7.4+2+2.45+1.5+3.5+3.65+335+3.8+3+3.5+2.49+1.75+3.81+1.75+3.23+1.14+2.84+1.14+3.04+3.5+15.41+3.65)*H1494</f>
        <v>614.32500000000005</v>
      </c>
    </row>
    <row r="1495" spans="1:10" x14ac:dyDescent="0.3">
      <c r="A1495" s="247"/>
      <c r="B1495" s="73"/>
      <c r="C1495" s="74"/>
      <c r="D1495" s="75" t="s">
        <v>711</v>
      </c>
      <c r="E1495" s="82"/>
      <c r="F1495" s="358" t="s">
        <v>994</v>
      </c>
      <c r="G1495" s="359"/>
      <c r="H1495" s="354">
        <v>1.5</v>
      </c>
      <c r="I1495" s="355"/>
      <c r="J1495" s="79">
        <f>-(12.08+2*1+3*1)*H1495</f>
        <v>-25.619999999999997</v>
      </c>
    </row>
    <row r="1496" spans="1:10" x14ac:dyDescent="0.3">
      <c r="A1496" s="247"/>
      <c r="B1496" s="73"/>
      <c r="C1496" s="74"/>
      <c r="D1496" s="75" t="s">
        <v>722</v>
      </c>
      <c r="E1496" s="82"/>
      <c r="F1496" s="358">
        <v>3</v>
      </c>
      <c r="G1496" s="359"/>
      <c r="H1496" s="354">
        <v>1.5</v>
      </c>
      <c r="I1496" s="355"/>
      <c r="J1496" s="79">
        <f>-F1496*H1496</f>
        <v>-4.5</v>
      </c>
    </row>
    <row r="1497" spans="1:10" x14ac:dyDescent="0.3">
      <c r="A1497" s="247"/>
      <c r="B1497" s="73"/>
      <c r="C1497" s="74"/>
      <c r="D1497" s="75" t="s">
        <v>995</v>
      </c>
      <c r="E1497" s="82"/>
      <c r="F1497" s="358">
        <v>3.6</v>
      </c>
      <c r="G1497" s="359"/>
      <c r="H1497" s="354">
        <v>1</v>
      </c>
      <c r="I1497" s="355"/>
      <c r="J1497" s="79">
        <f>-F1497*H1497</f>
        <v>-3.6</v>
      </c>
    </row>
    <row r="1498" spans="1:10" x14ac:dyDescent="0.3">
      <c r="A1498" s="247"/>
      <c r="B1498" s="73"/>
      <c r="C1498" s="74"/>
      <c r="D1498" s="86" t="s">
        <v>996</v>
      </c>
      <c r="E1498" s="74"/>
      <c r="F1498" s="358" t="s">
        <v>1559</v>
      </c>
      <c r="G1498" s="359"/>
      <c r="H1498" s="354">
        <v>1.5</v>
      </c>
      <c r="I1498" s="355"/>
      <c r="J1498" s="79">
        <f>H1498*(6.5+6.5+7.15+7.15)</f>
        <v>40.949999999999996</v>
      </c>
    </row>
    <row r="1499" spans="1:10" x14ac:dyDescent="0.3">
      <c r="A1499" s="247"/>
      <c r="B1499" s="73"/>
      <c r="C1499" s="74"/>
      <c r="D1499" s="75" t="s">
        <v>711</v>
      </c>
      <c r="E1499" s="82"/>
      <c r="F1499" s="358">
        <v>1</v>
      </c>
      <c r="G1499" s="359"/>
      <c r="H1499" s="354">
        <v>1.5</v>
      </c>
      <c r="I1499" s="355"/>
      <c r="J1499" s="79">
        <f>-H1499*F1499</f>
        <v>-1.5</v>
      </c>
    </row>
    <row r="1500" spans="1:10" x14ac:dyDescent="0.3">
      <c r="A1500" s="247"/>
      <c r="B1500" s="73"/>
      <c r="C1500" s="74"/>
      <c r="D1500" s="75" t="s">
        <v>997</v>
      </c>
      <c r="E1500" s="74"/>
      <c r="F1500" s="358">
        <v>1.8</v>
      </c>
      <c r="G1500" s="359"/>
      <c r="H1500" s="354">
        <v>0.5</v>
      </c>
      <c r="I1500" s="355"/>
      <c r="J1500" s="79">
        <f>-H1500*F1500</f>
        <v>-0.9</v>
      </c>
    </row>
    <row r="1501" spans="1:10" x14ac:dyDescent="0.3">
      <c r="A1501" s="247"/>
      <c r="B1501" s="73"/>
      <c r="C1501" s="74"/>
      <c r="D1501" s="86" t="s">
        <v>998</v>
      </c>
      <c r="E1501" s="74"/>
      <c r="F1501" s="358" t="s">
        <v>999</v>
      </c>
      <c r="G1501" s="359"/>
      <c r="H1501" s="354">
        <v>1.5</v>
      </c>
      <c r="I1501" s="355"/>
      <c r="J1501" s="79">
        <f>(2.54+32.7+2.54+32.7)*H1501</f>
        <v>105.72</v>
      </c>
    </row>
    <row r="1502" spans="1:10" x14ac:dyDescent="0.3">
      <c r="A1502" s="247"/>
      <c r="B1502" s="73"/>
      <c r="C1502" s="74"/>
      <c r="D1502" s="75" t="s">
        <v>711</v>
      </c>
      <c r="E1502" s="82"/>
      <c r="F1502" s="358" t="s">
        <v>512</v>
      </c>
      <c r="G1502" s="359"/>
      <c r="H1502" s="354">
        <v>1.5</v>
      </c>
      <c r="I1502" s="355"/>
      <c r="J1502" s="79">
        <f>-18*0.8*H1502</f>
        <v>-21.6</v>
      </c>
    </row>
    <row r="1503" spans="1:10" x14ac:dyDescent="0.3">
      <c r="A1503" s="247"/>
      <c r="B1503" s="73"/>
      <c r="C1503" s="74"/>
      <c r="D1503" s="75" t="s">
        <v>1000</v>
      </c>
      <c r="E1503" s="82"/>
      <c r="F1503" s="358">
        <v>3.5</v>
      </c>
      <c r="G1503" s="359"/>
      <c r="H1503" s="354">
        <v>1.5</v>
      </c>
      <c r="I1503" s="355"/>
      <c r="J1503" s="79">
        <f>-H1503*F1503</f>
        <v>-5.25</v>
      </c>
    </row>
    <row r="1504" spans="1:10" x14ac:dyDescent="0.3">
      <c r="A1504" s="247"/>
      <c r="B1504" s="73"/>
      <c r="C1504" s="74"/>
      <c r="D1504" s="86" t="s">
        <v>1527</v>
      </c>
      <c r="E1504" s="74"/>
      <c r="F1504" s="358" t="s">
        <v>1528</v>
      </c>
      <c r="G1504" s="359"/>
      <c r="H1504" s="354">
        <v>1.5</v>
      </c>
      <c r="I1504" s="355"/>
      <c r="J1504" s="212">
        <f>(3.95+1.45+1.15+27.6+25.55+2.85)*H1504</f>
        <v>93.825000000000003</v>
      </c>
    </row>
    <row r="1505" spans="1:10" x14ac:dyDescent="0.3">
      <c r="A1505" s="247"/>
      <c r="B1505" s="73"/>
      <c r="C1505" s="74"/>
      <c r="D1505" s="75" t="s">
        <v>711</v>
      </c>
      <c r="E1505" s="213"/>
      <c r="F1505" s="358" t="s">
        <v>1529</v>
      </c>
      <c r="G1505" s="359"/>
      <c r="H1505" s="354">
        <v>1.5</v>
      </c>
      <c r="I1505" s="355"/>
      <c r="J1505" s="212">
        <f>-8*0.8*H1505</f>
        <v>-9.6000000000000014</v>
      </c>
    </row>
    <row r="1506" spans="1:10" x14ac:dyDescent="0.3">
      <c r="A1506" s="247"/>
      <c r="B1506" s="73"/>
      <c r="C1506" s="74"/>
      <c r="D1506" s="75" t="s">
        <v>711</v>
      </c>
      <c r="E1506" s="213"/>
      <c r="F1506" s="358" t="s">
        <v>1530</v>
      </c>
      <c r="G1506" s="359"/>
      <c r="H1506" s="354">
        <v>1.5</v>
      </c>
      <c r="I1506" s="355"/>
      <c r="J1506" s="212">
        <f>-1.5*0.9*1</f>
        <v>-1.35</v>
      </c>
    </row>
    <row r="1507" spans="1:10" ht="15" thickBot="1" x14ac:dyDescent="0.35">
      <c r="A1507" s="364" t="s">
        <v>64</v>
      </c>
      <c r="B1507" s="365"/>
      <c r="C1507" s="365"/>
      <c r="D1507" s="365"/>
      <c r="E1507" s="365"/>
      <c r="F1507" s="365"/>
      <c r="G1507" s="365"/>
      <c r="H1507" s="365"/>
      <c r="I1507" s="366"/>
      <c r="J1507" s="275">
        <f>SUM(J1494:J1506)</f>
        <v>780.90000000000009</v>
      </c>
    </row>
    <row r="1508" spans="1:10" x14ac:dyDescent="0.3">
      <c r="A1508" s="247" t="str">
        <f>ORÇAMENTO!A466</f>
        <v>22.8</v>
      </c>
      <c r="B1508" s="73" t="str">
        <f>ORÇAMENTO!B466</f>
        <v>GOINFRA</v>
      </c>
      <c r="C1508" s="74">
        <f>ORÇAMENTO!C466</f>
        <v>261560</v>
      </c>
      <c r="D1508" s="75" t="str">
        <f>ORÇAMENTO!D466</f>
        <v>PINTURA ESMALTE SINTETICO 2 DEMÃOS EM ESQ. MADEIRA</v>
      </c>
      <c r="E1508" s="74" t="str">
        <f>ORÇAMENTO!F466</f>
        <v>m2</v>
      </c>
      <c r="F1508" s="88" t="s">
        <v>89</v>
      </c>
      <c r="G1508" s="88" t="s">
        <v>117</v>
      </c>
      <c r="H1508" s="82" t="s">
        <v>118</v>
      </c>
      <c r="I1508" s="82" t="s">
        <v>1020</v>
      </c>
      <c r="J1508" s="79" t="s">
        <v>86</v>
      </c>
    </row>
    <row r="1509" spans="1:10" x14ac:dyDescent="0.3">
      <c r="A1509" s="247"/>
      <c r="B1509" s="73"/>
      <c r="C1509" s="74"/>
      <c r="D1509" s="75" t="s">
        <v>946</v>
      </c>
      <c r="E1509" s="107"/>
      <c r="F1509" s="234">
        <v>55</v>
      </c>
      <c r="G1509" s="234">
        <v>0.8</v>
      </c>
      <c r="H1509" s="121">
        <v>2.1</v>
      </c>
      <c r="I1509" s="121">
        <v>3</v>
      </c>
      <c r="J1509" s="79">
        <f>I1509*H1509*G1509*F1509</f>
        <v>277.20000000000005</v>
      </c>
    </row>
    <row r="1510" spans="1:10" x14ac:dyDescent="0.3">
      <c r="A1510" s="247"/>
      <c r="B1510" s="73"/>
      <c r="C1510" s="74"/>
      <c r="D1510" s="75" t="s">
        <v>947</v>
      </c>
      <c r="E1510" s="107"/>
      <c r="F1510" s="234">
        <v>2</v>
      </c>
      <c r="G1510" s="234">
        <v>1</v>
      </c>
      <c r="H1510" s="121">
        <v>2.1</v>
      </c>
      <c r="I1510" s="121">
        <v>3</v>
      </c>
      <c r="J1510" s="79">
        <f>I1510*H1510*G1510*F1510</f>
        <v>12.600000000000001</v>
      </c>
    </row>
    <row r="1511" spans="1:10" ht="15" thickBot="1" x14ac:dyDescent="0.35">
      <c r="A1511" s="364" t="s">
        <v>64</v>
      </c>
      <c r="B1511" s="365"/>
      <c r="C1511" s="365"/>
      <c r="D1511" s="365"/>
      <c r="E1511" s="365"/>
      <c r="F1511" s="365"/>
      <c r="G1511" s="365"/>
      <c r="H1511" s="365"/>
      <c r="I1511" s="366"/>
      <c r="J1511" s="275">
        <f>SUM(J1509:J1510)</f>
        <v>289.80000000000007</v>
      </c>
    </row>
    <row r="1512" spans="1:10" x14ac:dyDescent="0.3">
      <c r="A1512" s="247" t="str">
        <f>ORÇAMENTO!A467</f>
        <v>22.9</v>
      </c>
      <c r="B1512" s="73" t="str">
        <f>ORÇAMENTO!B467</f>
        <v>GOINFRA</v>
      </c>
      <c r="C1512" s="74">
        <f>ORÇAMENTO!C467</f>
        <v>261609</v>
      </c>
      <c r="D1512" s="75" t="str">
        <f>ORÇAMENTO!D467</f>
        <v xml:space="preserve">PINTURA ESMALTE ALQUIDICO ESTR.METALICA 2 DEMAOS </v>
      </c>
      <c r="E1512" s="74" t="str">
        <f>ORÇAMENTO!F467</f>
        <v>m2</v>
      </c>
      <c r="F1512" s="377" t="s">
        <v>101</v>
      </c>
      <c r="G1512" s="378"/>
      <c r="H1512" s="371" t="s">
        <v>117</v>
      </c>
      <c r="I1512" s="373"/>
      <c r="J1512" s="76" t="s">
        <v>86</v>
      </c>
    </row>
    <row r="1513" spans="1:10" x14ac:dyDescent="0.3">
      <c r="A1513" s="247"/>
      <c r="B1513" s="73"/>
      <c r="C1513" s="74"/>
      <c r="D1513" s="75" t="s">
        <v>663</v>
      </c>
      <c r="E1513" s="82"/>
      <c r="F1513" s="358">
        <v>25.55</v>
      </c>
      <c r="G1513" s="359"/>
      <c r="H1513" s="354">
        <v>18</v>
      </c>
      <c r="I1513" s="355"/>
      <c r="J1513" s="79">
        <f>H1513*F1513</f>
        <v>459.90000000000003</v>
      </c>
    </row>
    <row r="1514" spans="1:10" x14ac:dyDescent="0.3">
      <c r="A1514" s="247"/>
      <c r="B1514" s="73"/>
      <c r="C1514" s="74"/>
      <c r="D1514" s="75" t="s">
        <v>96</v>
      </c>
      <c r="E1514" s="82"/>
      <c r="F1514" s="358">
        <v>32.1</v>
      </c>
      <c r="G1514" s="359"/>
      <c r="H1514" s="354">
        <v>12.4</v>
      </c>
      <c r="I1514" s="355"/>
      <c r="J1514" s="79">
        <f>H1514*F1514</f>
        <v>398.04</v>
      </c>
    </row>
    <row r="1515" spans="1:10" ht="15" thickBot="1" x14ac:dyDescent="0.35">
      <c r="A1515" s="364" t="s">
        <v>64</v>
      </c>
      <c r="B1515" s="365"/>
      <c r="C1515" s="365"/>
      <c r="D1515" s="365"/>
      <c r="E1515" s="365"/>
      <c r="F1515" s="365"/>
      <c r="G1515" s="365"/>
      <c r="H1515" s="365"/>
      <c r="I1515" s="366"/>
      <c r="J1515" s="275">
        <f>SUM(J1513:J1514)</f>
        <v>857.94</v>
      </c>
    </row>
    <row r="1516" spans="1:10" x14ac:dyDescent="0.3">
      <c r="A1516" s="247" t="str">
        <f>ORÇAMENTO!A468</f>
        <v>22.10</v>
      </c>
      <c r="B1516" s="73" t="str">
        <f>ORÇAMENTO!B468</f>
        <v>GOINFRA</v>
      </c>
      <c r="C1516" s="74">
        <f>ORÇAMENTO!C468</f>
        <v>261700</v>
      </c>
      <c r="D1516" s="75" t="str">
        <f>ORÇAMENTO!D468</f>
        <v xml:space="preserve">DEMARC.QUADRA/VAGAS TINTA POLIESPORTIVA </v>
      </c>
      <c r="E1516" s="74" t="str">
        <f>ORÇAMENTO!F468</f>
        <v xml:space="preserve">m </v>
      </c>
      <c r="F1516" s="371" t="s">
        <v>101</v>
      </c>
      <c r="G1516" s="372"/>
      <c r="H1516" s="372"/>
      <c r="I1516" s="373"/>
      <c r="J1516" s="76" t="s">
        <v>86</v>
      </c>
    </row>
    <row r="1517" spans="1:10" x14ac:dyDescent="0.3">
      <c r="A1517" s="247"/>
      <c r="B1517" s="73"/>
      <c r="C1517" s="74"/>
      <c r="D1517" s="75" t="s">
        <v>1370</v>
      </c>
      <c r="E1517" s="74"/>
      <c r="F1517" s="354" t="s">
        <v>1371</v>
      </c>
      <c r="G1517" s="369"/>
      <c r="H1517" s="369"/>
      <c r="I1517" s="355"/>
      <c r="J1517" s="79">
        <f>10*5+9*2.5+1*3+8*5+8*2.5</f>
        <v>135.5</v>
      </c>
    </row>
    <row r="1518" spans="1:10" x14ac:dyDescent="0.3">
      <c r="A1518" s="247"/>
      <c r="B1518" s="73"/>
      <c r="C1518" s="74"/>
      <c r="D1518" s="75" t="s">
        <v>1053</v>
      </c>
      <c r="E1518" s="74"/>
      <c r="F1518" s="354">
        <v>214.02</v>
      </c>
      <c r="G1518" s="369"/>
      <c r="H1518" s="369"/>
      <c r="I1518" s="355"/>
      <c r="J1518" s="79">
        <f>F1518</f>
        <v>214.02</v>
      </c>
    </row>
    <row r="1519" spans="1:10" ht="15" thickBot="1" x14ac:dyDescent="0.35">
      <c r="A1519" s="364" t="s">
        <v>64</v>
      </c>
      <c r="B1519" s="365"/>
      <c r="C1519" s="365"/>
      <c r="D1519" s="365"/>
      <c r="E1519" s="365"/>
      <c r="F1519" s="365"/>
      <c r="G1519" s="365"/>
      <c r="H1519" s="365"/>
      <c r="I1519" s="366"/>
      <c r="J1519" s="275">
        <f>SUM(J1517:J1518)</f>
        <v>349.52</v>
      </c>
    </row>
    <row r="1520" spans="1:10" x14ac:dyDescent="0.3">
      <c r="A1520" s="247" t="str">
        <f>ORÇAMENTO!A469</f>
        <v>22.11</v>
      </c>
      <c r="B1520" s="73" t="str">
        <f>ORÇAMENTO!B469</f>
        <v>GOINFRA</v>
      </c>
      <c r="C1520" s="74">
        <f>ORÇAMENTO!C469</f>
        <v>261703</v>
      </c>
      <c r="D1520" s="75" t="str">
        <f>ORÇAMENTO!D469</f>
        <v xml:space="preserve">PINT.POLIESPORTIVA - 2 DEM.(PISOS E CIMENTADOS) </v>
      </c>
      <c r="E1520" s="74" t="str">
        <f>ORÇAMENTO!F469</f>
        <v>m2</v>
      </c>
      <c r="F1520" s="377" t="s">
        <v>101</v>
      </c>
      <c r="G1520" s="378"/>
      <c r="H1520" s="371" t="s">
        <v>117</v>
      </c>
      <c r="I1520" s="373"/>
      <c r="J1520" s="79" t="s">
        <v>86</v>
      </c>
    </row>
    <row r="1521" spans="1:10" x14ac:dyDescent="0.3">
      <c r="A1521" s="247"/>
      <c r="B1521" s="73"/>
      <c r="C1521" s="74"/>
      <c r="D1521" s="75" t="s">
        <v>1053</v>
      </c>
      <c r="E1521" s="82"/>
      <c r="F1521" s="358">
        <v>26.95</v>
      </c>
      <c r="G1521" s="359"/>
      <c r="H1521" s="354">
        <v>16.100000000000001</v>
      </c>
      <c r="I1521" s="355"/>
      <c r="J1521" s="79">
        <f>H1521*F1521</f>
        <v>433.89500000000004</v>
      </c>
    </row>
    <row r="1522" spans="1:10" ht="15" thickBot="1" x14ac:dyDescent="0.35">
      <c r="A1522" s="364" t="s">
        <v>64</v>
      </c>
      <c r="B1522" s="365"/>
      <c r="C1522" s="365"/>
      <c r="D1522" s="365"/>
      <c r="E1522" s="365"/>
      <c r="F1522" s="365"/>
      <c r="G1522" s="365"/>
      <c r="H1522" s="365"/>
      <c r="I1522" s="366"/>
      <c r="J1522" s="275">
        <f>SUM(J1520:J1521)</f>
        <v>433.89500000000004</v>
      </c>
    </row>
    <row r="1523" spans="1:10" x14ac:dyDescent="0.3">
      <c r="A1523" s="247" t="str">
        <f>ORÇAMENTO!A470</f>
        <v>22.12</v>
      </c>
      <c r="B1523" s="73" t="str">
        <f>ORÇAMENTO!B470</f>
        <v>GOINFRA</v>
      </c>
      <c r="C1523" s="74">
        <f>ORÇAMENTO!C470</f>
        <v>261005</v>
      </c>
      <c r="D1523" s="75" t="str">
        <f>ORÇAMENTO!D470</f>
        <v xml:space="preserve">PINTURA COM SELADOR ACRILICO </v>
      </c>
      <c r="E1523" s="74" t="str">
        <f>ORÇAMENTO!F470</f>
        <v xml:space="preserve">m2 </v>
      </c>
      <c r="F1523" s="377" t="s">
        <v>101</v>
      </c>
      <c r="G1523" s="378"/>
      <c r="H1523" s="371" t="s">
        <v>118</v>
      </c>
      <c r="I1523" s="373"/>
      <c r="J1523" s="212" t="s">
        <v>86</v>
      </c>
    </row>
    <row r="1524" spans="1:10" ht="48.75" customHeight="1" x14ac:dyDescent="0.3">
      <c r="A1524" s="247"/>
      <c r="B1524" s="73"/>
      <c r="C1524" s="74"/>
      <c r="D1524" s="75" t="s">
        <v>904</v>
      </c>
      <c r="E1524" s="213"/>
      <c r="F1524" s="358" t="s">
        <v>993</v>
      </c>
      <c r="G1524" s="359"/>
      <c r="H1524" s="354">
        <v>1.5</v>
      </c>
      <c r="I1524" s="355"/>
      <c r="J1524" s="212">
        <f>(7.4+2+2.45+1.5+3.5+3.65+335+3.8+3+3.5+2.49+1.75+3.81+1.75+3.23+1.14+2.84+1.14+3.04+3.5+15.41+3.65)*H1524</f>
        <v>614.32500000000005</v>
      </c>
    </row>
    <row r="1525" spans="1:10" x14ac:dyDescent="0.3">
      <c r="A1525" s="247"/>
      <c r="B1525" s="73"/>
      <c r="C1525" s="74"/>
      <c r="D1525" s="75" t="s">
        <v>711</v>
      </c>
      <c r="E1525" s="213"/>
      <c r="F1525" s="358" t="s">
        <v>994</v>
      </c>
      <c r="G1525" s="359"/>
      <c r="H1525" s="354">
        <v>1.5</v>
      </c>
      <c r="I1525" s="355"/>
      <c r="J1525" s="212">
        <f>-(12.08+2*1+3*1)*H1525</f>
        <v>-25.619999999999997</v>
      </c>
    </row>
    <row r="1526" spans="1:10" x14ac:dyDescent="0.3">
      <c r="A1526" s="247"/>
      <c r="B1526" s="73"/>
      <c r="C1526" s="74"/>
      <c r="D1526" s="75" t="s">
        <v>722</v>
      </c>
      <c r="E1526" s="213"/>
      <c r="F1526" s="358">
        <v>3</v>
      </c>
      <c r="G1526" s="359"/>
      <c r="H1526" s="354">
        <v>1.5</v>
      </c>
      <c r="I1526" s="355"/>
      <c r="J1526" s="212">
        <f>-F1526*H1526</f>
        <v>-4.5</v>
      </c>
    </row>
    <row r="1527" spans="1:10" x14ac:dyDescent="0.3">
      <c r="A1527" s="247"/>
      <c r="B1527" s="73"/>
      <c r="C1527" s="74"/>
      <c r="D1527" s="75" t="s">
        <v>995</v>
      </c>
      <c r="E1527" s="213"/>
      <c r="F1527" s="358">
        <v>3.6</v>
      </c>
      <c r="G1527" s="359"/>
      <c r="H1527" s="354">
        <v>1</v>
      </c>
      <c r="I1527" s="355"/>
      <c r="J1527" s="212">
        <f>-F1527*H1527</f>
        <v>-3.6</v>
      </c>
    </row>
    <row r="1528" spans="1:10" x14ac:dyDescent="0.3">
      <c r="A1528" s="247"/>
      <c r="B1528" s="73"/>
      <c r="C1528" s="74"/>
      <c r="D1528" s="86" t="s">
        <v>996</v>
      </c>
      <c r="E1528" s="74"/>
      <c r="F1528" s="358">
        <v>6.5</v>
      </c>
      <c r="G1528" s="359"/>
      <c r="H1528" s="354">
        <v>7.15</v>
      </c>
      <c r="I1528" s="355"/>
      <c r="J1528" s="212">
        <f>H1528*F1528</f>
        <v>46.475000000000001</v>
      </c>
    </row>
    <row r="1529" spans="1:10" x14ac:dyDescent="0.3">
      <c r="A1529" s="247"/>
      <c r="B1529" s="73"/>
      <c r="C1529" s="74"/>
      <c r="D1529" s="75" t="s">
        <v>711</v>
      </c>
      <c r="E1529" s="213"/>
      <c r="F1529" s="358">
        <v>1</v>
      </c>
      <c r="G1529" s="359"/>
      <c r="H1529" s="354">
        <v>1.5</v>
      </c>
      <c r="I1529" s="355"/>
      <c r="J1529" s="212">
        <f>-H1529*F1529</f>
        <v>-1.5</v>
      </c>
    </row>
    <row r="1530" spans="1:10" x14ac:dyDescent="0.3">
      <c r="A1530" s="247"/>
      <c r="B1530" s="73"/>
      <c r="C1530" s="74"/>
      <c r="D1530" s="75" t="s">
        <v>997</v>
      </c>
      <c r="E1530" s="74"/>
      <c r="F1530" s="358">
        <v>1.8</v>
      </c>
      <c r="G1530" s="359"/>
      <c r="H1530" s="354">
        <v>0.5</v>
      </c>
      <c r="I1530" s="355"/>
      <c r="J1530" s="212">
        <f>-H1530*F1530</f>
        <v>-0.9</v>
      </c>
    </row>
    <row r="1531" spans="1:10" x14ac:dyDescent="0.3">
      <c r="A1531" s="247"/>
      <c r="B1531" s="73"/>
      <c r="C1531" s="74"/>
      <c r="D1531" s="86" t="s">
        <v>998</v>
      </c>
      <c r="E1531" s="74"/>
      <c r="F1531" s="358" t="s">
        <v>999</v>
      </c>
      <c r="G1531" s="359"/>
      <c r="H1531" s="354">
        <v>1.5</v>
      </c>
      <c r="I1531" s="355"/>
      <c r="J1531" s="212">
        <f>(2.54+32.7+2.54+32.7)*H1531</f>
        <v>105.72</v>
      </c>
    </row>
    <row r="1532" spans="1:10" x14ac:dyDescent="0.3">
      <c r="A1532" s="247"/>
      <c r="B1532" s="73"/>
      <c r="C1532" s="74"/>
      <c r="D1532" s="75" t="s">
        <v>711</v>
      </c>
      <c r="E1532" s="213"/>
      <c r="F1532" s="358" t="s">
        <v>512</v>
      </c>
      <c r="G1532" s="359"/>
      <c r="H1532" s="354">
        <v>1.5</v>
      </c>
      <c r="I1532" s="355"/>
      <c r="J1532" s="212">
        <f>-18*0.8*H1532</f>
        <v>-21.6</v>
      </c>
    </row>
    <row r="1533" spans="1:10" x14ac:dyDescent="0.3">
      <c r="A1533" s="247"/>
      <c r="B1533" s="73"/>
      <c r="C1533" s="74"/>
      <c r="D1533" s="75" t="s">
        <v>1000</v>
      </c>
      <c r="E1533" s="213"/>
      <c r="F1533" s="358">
        <v>3.5</v>
      </c>
      <c r="G1533" s="359"/>
      <c r="H1533" s="354">
        <v>1.5</v>
      </c>
      <c r="I1533" s="355"/>
      <c r="J1533" s="212">
        <f>-H1533*F1533</f>
        <v>-5.25</v>
      </c>
    </row>
    <row r="1534" spans="1:10" x14ac:dyDescent="0.3">
      <c r="A1534" s="247"/>
      <c r="B1534" s="73"/>
      <c r="C1534" s="74"/>
      <c r="D1534" s="86" t="s">
        <v>1527</v>
      </c>
      <c r="E1534" s="74"/>
      <c r="F1534" s="358" t="s">
        <v>1528</v>
      </c>
      <c r="G1534" s="359"/>
      <c r="H1534" s="354">
        <v>1.5</v>
      </c>
      <c r="I1534" s="355"/>
      <c r="J1534" s="212">
        <f>(3.95+1.45+1.15+27.6+25.55+2.85)*H1534</f>
        <v>93.825000000000003</v>
      </c>
    </row>
    <row r="1535" spans="1:10" x14ac:dyDescent="0.3">
      <c r="A1535" s="247"/>
      <c r="B1535" s="73"/>
      <c r="C1535" s="74"/>
      <c r="D1535" s="75" t="s">
        <v>711</v>
      </c>
      <c r="E1535" s="213"/>
      <c r="F1535" s="358" t="s">
        <v>1529</v>
      </c>
      <c r="G1535" s="359"/>
      <c r="H1535" s="354">
        <v>1.5</v>
      </c>
      <c r="I1535" s="355"/>
      <c r="J1535" s="212">
        <f>-8*0.8*H1535</f>
        <v>-9.6000000000000014</v>
      </c>
    </row>
    <row r="1536" spans="1:10" x14ac:dyDescent="0.3">
      <c r="A1536" s="247"/>
      <c r="B1536" s="73"/>
      <c r="C1536" s="74"/>
      <c r="D1536" s="75" t="s">
        <v>711</v>
      </c>
      <c r="E1536" s="213"/>
      <c r="F1536" s="358" t="s">
        <v>1530</v>
      </c>
      <c r="G1536" s="359"/>
      <c r="H1536" s="354">
        <v>1.5</v>
      </c>
      <c r="I1536" s="355"/>
      <c r="J1536" s="212">
        <f>-1.5*0.9*1</f>
        <v>-1.35</v>
      </c>
    </row>
    <row r="1537" spans="1:10" ht="15" thickBot="1" x14ac:dyDescent="0.35">
      <c r="A1537" s="364" t="s">
        <v>64</v>
      </c>
      <c r="B1537" s="365"/>
      <c r="C1537" s="365"/>
      <c r="D1537" s="365"/>
      <c r="E1537" s="365"/>
      <c r="F1537" s="365"/>
      <c r="G1537" s="365"/>
      <c r="H1537" s="365"/>
      <c r="I1537" s="366"/>
      <c r="J1537" s="275">
        <f>SUM(J1524:J1536)</f>
        <v>786.42500000000007</v>
      </c>
    </row>
    <row r="1538" spans="1:10" ht="15" thickBot="1" x14ac:dyDescent="0.35">
      <c r="A1538" s="415" t="s">
        <v>62</v>
      </c>
      <c r="B1538" s="416"/>
      <c r="C1538" s="416"/>
      <c r="D1538" s="416"/>
      <c r="E1538" s="416"/>
      <c r="F1538" s="416"/>
      <c r="G1538" s="416"/>
      <c r="H1538" s="416"/>
      <c r="I1538" s="416"/>
      <c r="J1538" s="417"/>
    </row>
    <row r="1539" spans="1:10" x14ac:dyDescent="0.3">
      <c r="A1539" s="249">
        <v>23</v>
      </c>
      <c r="B1539" s="87" t="s">
        <v>10</v>
      </c>
      <c r="C1539" s="81">
        <v>270000</v>
      </c>
      <c r="D1539" s="262" t="s">
        <v>63</v>
      </c>
      <c r="E1539" s="95"/>
      <c r="F1539" s="231"/>
      <c r="G1539" s="231"/>
      <c r="H1539" s="95"/>
      <c r="I1539" s="95"/>
      <c r="J1539" s="96"/>
    </row>
    <row r="1540" spans="1:10" ht="28.8" x14ac:dyDescent="0.3">
      <c r="A1540" s="247" t="str">
        <f>ORÇAMENTO!A474</f>
        <v>23.1</v>
      </c>
      <c r="B1540" s="73" t="str">
        <f>ORÇAMENTO!B474</f>
        <v>GOINFRA</v>
      </c>
      <c r="C1540" s="74">
        <f>ORÇAMENTO!C474</f>
        <v>270105</v>
      </c>
      <c r="D1540" s="86" t="str">
        <f>ORÇAMENTO!D474</f>
        <v>PLANTIO GRAMA BATATAIS PLACA C/ M.O. IRRIG.P/CAMPO FUTEBOL (ADUBO/ROLO/ETC) (OC) A&lt;11.000M2</v>
      </c>
      <c r="E1540" s="74" t="str">
        <f>ORÇAMENTO!F474</f>
        <v xml:space="preserve">m2 </v>
      </c>
      <c r="F1540" s="358" t="s">
        <v>101</v>
      </c>
      <c r="G1540" s="359"/>
      <c r="H1540" s="354" t="s">
        <v>117</v>
      </c>
      <c r="I1540" s="355"/>
      <c r="J1540" s="79" t="s">
        <v>86</v>
      </c>
    </row>
    <row r="1541" spans="1:10" x14ac:dyDescent="0.3">
      <c r="A1541" s="247"/>
      <c r="B1541" s="73"/>
      <c r="C1541" s="74"/>
      <c r="D1541" s="75" t="s">
        <v>95</v>
      </c>
      <c r="E1541" s="82"/>
      <c r="F1541" s="358">
        <v>42</v>
      </c>
      <c r="G1541" s="359"/>
      <c r="H1541" s="354">
        <v>22</v>
      </c>
      <c r="I1541" s="355"/>
      <c r="J1541" s="79">
        <f>H1541*F1541</f>
        <v>924</v>
      </c>
    </row>
    <row r="1542" spans="1:10" ht="15" thickBot="1" x14ac:dyDescent="0.35">
      <c r="A1542" s="364" t="s">
        <v>64</v>
      </c>
      <c r="B1542" s="365"/>
      <c r="C1542" s="365"/>
      <c r="D1542" s="365"/>
      <c r="E1542" s="365"/>
      <c r="F1542" s="365"/>
      <c r="G1542" s="365"/>
      <c r="H1542" s="365"/>
      <c r="I1542" s="366"/>
      <c r="J1542" s="76">
        <f>SUM(J1541:J1541)</f>
        <v>924</v>
      </c>
    </row>
    <row r="1543" spans="1:10" x14ac:dyDescent="0.3">
      <c r="A1543" s="247" t="str">
        <f>ORÇAMENTO!A475</f>
        <v>23.2</v>
      </c>
      <c r="B1543" s="73" t="str">
        <f>ORÇAMENTO!B475</f>
        <v>GOINFRA</v>
      </c>
      <c r="C1543" s="74">
        <f>ORÇAMENTO!C475</f>
        <v>270207</v>
      </c>
      <c r="D1543" s="86" t="str">
        <f>ORÇAMENTO!D475</f>
        <v xml:space="preserve">PLANTIO GRAMA BATATAIS PLACA C/ M.O. IRRIG.ADUBO,TER.VEG.(OC) A&lt;11.000M2 </v>
      </c>
      <c r="E1543" s="74" t="str">
        <f>ORÇAMENTO!F475</f>
        <v xml:space="preserve">m2 </v>
      </c>
      <c r="F1543" s="371" t="s">
        <v>104</v>
      </c>
      <c r="G1543" s="372"/>
      <c r="H1543" s="372"/>
      <c r="I1543" s="373"/>
      <c r="J1543" s="79" t="s">
        <v>86</v>
      </c>
    </row>
    <row r="1544" spans="1:10" x14ac:dyDescent="0.3">
      <c r="A1544" s="247"/>
      <c r="B1544" s="73"/>
      <c r="C1544" s="74"/>
      <c r="D1544" s="75" t="s">
        <v>1085</v>
      </c>
      <c r="E1544" s="82"/>
      <c r="F1544" s="354" t="s">
        <v>1365</v>
      </c>
      <c r="G1544" s="369"/>
      <c r="H1544" s="369"/>
      <c r="I1544" s="355"/>
      <c r="J1544" s="79">
        <f>606.55+1449.27+3284.03+575.3+660.59</f>
        <v>6575.7400000000007</v>
      </c>
    </row>
    <row r="1545" spans="1:10" ht="15" thickBot="1" x14ac:dyDescent="0.35">
      <c r="A1545" s="364" t="s">
        <v>64</v>
      </c>
      <c r="B1545" s="365"/>
      <c r="C1545" s="365"/>
      <c r="D1545" s="365"/>
      <c r="E1545" s="365"/>
      <c r="F1545" s="365"/>
      <c r="G1545" s="365"/>
      <c r="H1545" s="365"/>
      <c r="I1545" s="366"/>
      <c r="J1545" s="275">
        <f>SUM(J1544:J1544)</f>
        <v>6575.7400000000007</v>
      </c>
    </row>
    <row r="1546" spans="1:10" x14ac:dyDescent="0.3">
      <c r="A1546" s="247" t="str">
        <f>ORÇAMENTO!A476</f>
        <v>23.3</v>
      </c>
      <c r="B1546" s="73" t="str">
        <f>ORÇAMENTO!B476</f>
        <v>GOINFRA</v>
      </c>
      <c r="C1546" s="74">
        <f>ORÇAMENTO!C476</f>
        <v>270501</v>
      </c>
      <c r="D1546" s="86" t="str">
        <f>ORÇAMENTO!D476</f>
        <v xml:space="preserve"> LIMPEZA FINAL DE OBRA - (OBRAS CIVIS) </v>
      </c>
      <c r="E1546" s="74" t="str">
        <f>ORÇAMENTO!F476</f>
        <v xml:space="preserve">m2 </v>
      </c>
      <c r="F1546" s="371" t="s">
        <v>104</v>
      </c>
      <c r="G1546" s="372"/>
      <c r="H1546" s="372"/>
      <c r="I1546" s="373"/>
      <c r="J1546" s="79" t="s">
        <v>86</v>
      </c>
    </row>
    <row r="1547" spans="1:10" x14ac:dyDescent="0.3">
      <c r="A1547" s="247"/>
      <c r="B1547" s="73"/>
      <c r="C1547" s="74"/>
      <c r="D1547" s="75" t="s">
        <v>1086</v>
      </c>
      <c r="E1547" s="82"/>
      <c r="F1547" s="358">
        <f>F29</f>
        <v>1733</v>
      </c>
      <c r="G1547" s="387"/>
      <c r="H1547" s="387"/>
      <c r="I1547" s="359"/>
      <c r="J1547" s="79">
        <f>F1547</f>
        <v>1733</v>
      </c>
    </row>
    <row r="1548" spans="1:10" x14ac:dyDescent="0.3">
      <c r="A1548" s="247"/>
      <c r="B1548" s="73"/>
      <c r="C1548" s="74"/>
      <c r="D1548" s="75" t="s">
        <v>1087</v>
      </c>
      <c r="E1548" s="82"/>
      <c r="F1548" s="354">
        <f>F34</f>
        <v>398.04</v>
      </c>
      <c r="G1548" s="369"/>
      <c r="H1548" s="369"/>
      <c r="I1548" s="355"/>
      <c r="J1548" s="79">
        <f>F1548</f>
        <v>398.04</v>
      </c>
    </row>
    <row r="1549" spans="1:10" ht="15" thickBot="1" x14ac:dyDescent="0.35">
      <c r="A1549" s="364" t="s">
        <v>64</v>
      </c>
      <c r="B1549" s="365"/>
      <c r="C1549" s="365"/>
      <c r="D1549" s="365"/>
      <c r="E1549" s="365"/>
      <c r="F1549" s="365"/>
      <c r="G1549" s="365"/>
      <c r="H1549" s="365"/>
      <c r="I1549" s="366"/>
      <c r="J1549" s="275">
        <f>SUM(J1547:J1548)</f>
        <v>2131.04</v>
      </c>
    </row>
    <row r="1550" spans="1:10" x14ac:dyDescent="0.3">
      <c r="A1550" s="247" t="str">
        <f>ORÇAMENTO!A477</f>
        <v>23.4</v>
      </c>
      <c r="B1550" s="73" t="str">
        <f>ORÇAMENTO!B477</f>
        <v>GOINFRA</v>
      </c>
      <c r="C1550" s="74">
        <f>ORÇAMENTO!C477</f>
        <v>270702</v>
      </c>
      <c r="D1550" s="86" t="str">
        <f>ORÇAMENTO!D477</f>
        <v xml:space="preserve">ALAMBRADO COM POSTE DE CONCRETO E CINTA ARMADA PD. GOINFRA </v>
      </c>
      <c r="E1550" s="74" t="str">
        <f>ORÇAMENTO!F477</f>
        <v xml:space="preserve">m </v>
      </c>
      <c r="F1550" s="371" t="s">
        <v>1088</v>
      </c>
      <c r="G1550" s="372"/>
      <c r="H1550" s="372"/>
      <c r="I1550" s="373"/>
      <c r="J1550" s="79" t="s">
        <v>86</v>
      </c>
    </row>
    <row r="1551" spans="1:10" x14ac:dyDescent="0.3">
      <c r="A1551" s="247"/>
      <c r="B1551" s="73"/>
      <c r="C1551" s="74"/>
      <c r="D1551" s="222" t="s">
        <v>1089</v>
      </c>
      <c r="E1551" s="107"/>
      <c r="F1551" s="351">
        <v>501.42</v>
      </c>
      <c r="G1551" s="352"/>
      <c r="H1551" s="352"/>
      <c r="I1551" s="353"/>
      <c r="J1551" s="79">
        <f>F1551</f>
        <v>501.42</v>
      </c>
    </row>
    <row r="1552" spans="1:10" ht="15" thickBot="1" x14ac:dyDescent="0.35">
      <c r="A1552" s="364" t="s">
        <v>64</v>
      </c>
      <c r="B1552" s="365"/>
      <c r="C1552" s="365"/>
      <c r="D1552" s="365"/>
      <c r="E1552" s="365"/>
      <c r="F1552" s="365"/>
      <c r="G1552" s="365"/>
      <c r="H1552" s="365"/>
      <c r="I1552" s="366"/>
      <c r="J1552" s="275">
        <f>SUM(J1550:J1551)</f>
        <v>501.42</v>
      </c>
    </row>
    <row r="1553" spans="1:10" x14ac:dyDescent="0.3">
      <c r="A1553" s="247" t="str">
        <f>ORÇAMENTO!A478</f>
        <v>23.5</v>
      </c>
      <c r="B1553" s="73" t="str">
        <f>ORÇAMENTO!B478</f>
        <v>GOINFRA</v>
      </c>
      <c r="C1553" s="74">
        <f>ORÇAMENTO!C478</f>
        <v>270232</v>
      </c>
      <c r="D1553" s="86" t="str">
        <f>ORÇAMENTO!D478</f>
        <v>PAVIMENTO INTERTRAVADO ESPESSURA DE 6CM E FCK = 35 MPA</v>
      </c>
      <c r="E1553" s="74" t="str">
        <f>ORÇAMENTO!F478</f>
        <v>m2</v>
      </c>
      <c r="F1553" s="371" t="s">
        <v>104</v>
      </c>
      <c r="G1553" s="372"/>
      <c r="H1553" s="372"/>
      <c r="I1553" s="373"/>
      <c r="J1553" s="79" t="s">
        <v>86</v>
      </c>
    </row>
    <row r="1554" spans="1:10" x14ac:dyDescent="0.3">
      <c r="A1554" s="247"/>
      <c r="B1554" s="73"/>
      <c r="C1554" s="74"/>
      <c r="D1554" s="222" t="s">
        <v>1090</v>
      </c>
      <c r="E1554" s="107"/>
      <c r="F1554" s="351">
        <v>274.74</v>
      </c>
      <c r="G1554" s="352"/>
      <c r="H1554" s="352"/>
      <c r="I1554" s="353"/>
      <c r="J1554" s="79">
        <f>F1554</f>
        <v>274.74</v>
      </c>
    </row>
    <row r="1555" spans="1:10" ht="15" thickBot="1" x14ac:dyDescent="0.35">
      <c r="A1555" s="364" t="s">
        <v>64</v>
      </c>
      <c r="B1555" s="365"/>
      <c r="C1555" s="365"/>
      <c r="D1555" s="365"/>
      <c r="E1555" s="365"/>
      <c r="F1555" s="365"/>
      <c r="G1555" s="365"/>
      <c r="H1555" s="365"/>
      <c r="I1555" s="366"/>
      <c r="J1555" s="275">
        <f>SUM(J1553:J1554)</f>
        <v>274.74</v>
      </c>
    </row>
    <row r="1556" spans="1:10" ht="28.8" x14ac:dyDescent="0.3">
      <c r="A1556" s="247" t="str">
        <f>ORÇAMENTO!A479</f>
        <v>23.6</v>
      </c>
      <c r="B1556" s="73" t="str">
        <f>ORÇAMENTO!B479</f>
        <v>GOINFRA</v>
      </c>
      <c r="C1556" s="74">
        <f>ORÇAMENTO!C479</f>
        <v>270621</v>
      </c>
      <c r="D1556" s="75" t="str">
        <f>ORÇAMENTO!D479</f>
        <v xml:space="preserve">ALAMBRADO EM TUBO INDUSTRIAL 2"#2,28 E TELA MALHA 4" FIO 12 (QUADRA ESPORTE EXISTENTE) SEM PINTURA </v>
      </c>
      <c r="E1556" s="74" t="str">
        <f>ORÇAMENTO!F479</f>
        <v xml:space="preserve">m2 </v>
      </c>
      <c r="F1556" s="377" t="s">
        <v>115</v>
      </c>
      <c r="G1556" s="378"/>
      <c r="H1556" s="371" t="s">
        <v>118</v>
      </c>
      <c r="I1556" s="373"/>
      <c r="J1556" s="79" t="s">
        <v>86</v>
      </c>
    </row>
    <row r="1557" spans="1:10" x14ac:dyDescent="0.3">
      <c r="A1557" s="247"/>
      <c r="B1557" s="73"/>
      <c r="C1557" s="74"/>
      <c r="D1557" s="86" t="s">
        <v>1053</v>
      </c>
      <c r="E1557" s="105"/>
      <c r="F1557" s="358" t="s">
        <v>1124</v>
      </c>
      <c r="G1557" s="359"/>
      <c r="H1557" s="354">
        <v>5</v>
      </c>
      <c r="I1557" s="355"/>
      <c r="J1557" s="76">
        <f>(16.1+16.1+3+3+3+3)*H1557</f>
        <v>221</v>
      </c>
    </row>
    <row r="1558" spans="1:10" ht="15" thickBot="1" x14ac:dyDescent="0.35">
      <c r="A1558" s="364" t="s">
        <v>64</v>
      </c>
      <c r="B1558" s="365"/>
      <c r="C1558" s="365"/>
      <c r="D1558" s="365"/>
      <c r="E1558" s="365"/>
      <c r="F1558" s="365"/>
      <c r="G1558" s="365"/>
      <c r="H1558" s="365"/>
      <c r="I1558" s="366"/>
      <c r="J1558" s="275">
        <f>SUM(J1556:J1557)</f>
        <v>221</v>
      </c>
    </row>
    <row r="1559" spans="1:10" x14ac:dyDescent="0.3">
      <c r="A1559" s="247" t="str">
        <f>ORÇAMENTO!A480</f>
        <v>23.7</v>
      </c>
      <c r="B1559" s="73" t="str">
        <f>ORÇAMENTO!B480</f>
        <v>GOINFRA</v>
      </c>
      <c r="C1559" s="74">
        <f>ORÇAMENTO!C480</f>
        <v>270806</v>
      </c>
      <c r="D1559" s="86" t="str">
        <f>ORÇAMENTO!D480</f>
        <v>PLACA DE INAUGURAÇÃO EM DURALUMÍNIO 80 X 60 CM</v>
      </c>
      <c r="E1559" s="74" t="str">
        <f>ORÇAMENTO!F480</f>
        <v>und.</v>
      </c>
      <c r="F1559" s="371" t="s">
        <v>89</v>
      </c>
      <c r="G1559" s="372"/>
      <c r="H1559" s="372"/>
      <c r="I1559" s="373"/>
      <c r="J1559" s="79" t="s">
        <v>86</v>
      </c>
    </row>
    <row r="1560" spans="1:10" x14ac:dyDescent="0.3">
      <c r="A1560" s="247"/>
      <c r="B1560" s="73"/>
      <c r="C1560" s="74"/>
      <c r="D1560" s="86" t="s">
        <v>1091</v>
      </c>
      <c r="E1560" s="74"/>
      <c r="F1560" s="354">
        <v>1</v>
      </c>
      <c r="G1560" s="369"/>
      <c r="H1560" s="369"/>
      <c r="I1560" s="355"/>
      <c r="J1560" s="76">
        <f>F1560</f>
        <v>1</v>
      </c>
    </row>
    <row r="1561" spans="1:10" ht="15" thickBot="1" x14ac:dyDescent="0.35">
      <c r="A1561" s="364" t="s">
        <v>64</v>
      </c>
      <c r="B1561" s="365"/>
      <c r="C1561" s="365"/>
      <c r="D1561" s="365"/>
      <c r="E1561" s="365"/>
      <c r="F1561" s="365"/>
      <c r="G1561" s="365"/>
      <c r="H1561" s="365"/>
      <c r="I1561" s="366"/>
      <c r="J1561" s="275">
        <f>SUM(J1559:J1560)</f>
        <v>1</v>
      </c>
    </row>
    <row r="1562" spans="1:10" ht="28.8" x14ac:dyDescent="0.3">
      <c r="A1562" s="247" t="str">
        <f>ORÇAMENTO!A481</f>
        <v>23.8</v>
      </c>
      <c r="B1562" s="73" t="str">
        <f>ORÇAMENTO!B481</f>
        <v>GOINFRA</v>
      </c>
      <c r="C1562" s="74">
        <f>ORÇAMENTO!C481</f>
        <v>270891</v>
      </c>
      <c r="D1562" s="86" t="str">
        <f>ORÇAMENTO!D481</f>
        <v>SUPORTE EM TUBO INDUSTRIAL REMOVÍVEL PARA TABELA DE BASQUETE - 2 UNID.(ASSENT./PINTADOS)</v>
      </c>
      <c r="E1562" s="74" t="str">
        <f>ORÇAMENTO!F481</f>
        <v xml:space="preserve">CJ </v>
      </c>
      <c r="F1562" s="371" t="s">
        <v>89</v>
      </c>
      <c r="G1562" s="372"/>
      <c r="H1562" s="372"/>
      <c r="I1562" s="373"/>
      <c r="J1562" s="79" t="s">
        <v>86</v>
      </c>
    </row>
    <row r="1563" spans="1:10" x14ac:dyDescent="0.3">
      <c r="A1563" s="247"/>
      <c r="B1563" s="73"/>
      <c r="C1563" s="74"/>
      <c r="D1563" s="86" t="s">
        <v>1053</v>
      </c>
      <c r="E1563" s="74"/>
      <c r="F1563" s="354">
        <v>1</v>
      </c>
      <c r="G1563" s="369"/>
      <c r="H1563" s="369"/>
      <c r="I1563" s="355"/>
      <c r="J1563" s="76">
        <f>F1563</f>
        <v>1</v>
      </c>
    </row>
    <row r="1564" spans="1:10" ht="15" thickBot="1" x14ac:dyDescent="0.35">
      <c r="A1564" s="364" t="s">
        <v>64</v>
      </c>
      <c r="B1564" s="365"/>
      <c r="C1564" s="365"/>
      <c r="D1564" s="365"/>
      <c r="E1564" s="365"/>
      <c r="F1564" s="365"/>
      <c r="G1564" s="365"/>
      <c r="H1564" s="365"/>
      <c r="I1564" s="366"/>
      <c r="J1564" s="275">
        <f>SUM(J1562:J1563)</f>
        <v>1</v>
      </c>
    </row>
    <row r="1565" spans="1:10" ht="28.8" x14ac:dyDescent="0.3">
      <c r="A1565" s="247" t="str">
        <f>ORÇAMENTO!A482</f>
        <v>23.9</v>
      </c>
      <c r="B1565" s="73" t="str">
        <f>ORÇAMENTO!B482</f>
        <v>GOINFRA</v>
      </c>
      <c r="C1565" s="74">
        <f>ORÇAMENTO!C482</f>
        <v>271099</v>
      </c>
      <c r="D1565" s="86" t="str">
        <f>ORÇAMENTO!D482</f>
        <v>TABELA PARA BASQUETE ESTRUTURA METÁLICA E COMPENSADO (ASSENT./PINTADAS)ARO METÁLICO - 2 UNID.</v>
      </c>
      <c r="E1565" s="74" t="str">
        <f>ORÇAMENTO!F482</f>
        <v xml:space="preserve">CJ </v>
      </c>
      <c r="F1565" s="371" t="s">
        <v>89</v>
      </c>
      <c r="G1565" s="372"/>
      <c r="H1565" s="372"/>
      <c r="I1565" s="373"/>
      <c r="J1565" s="79" t="s">
        <v>86</v>
      </c>
    </row>
    <row r="1566" spans="1:10" x14ac:dyDescent="0.3">
      <c r="A1566" s="247"/>
      <c r="B1566" s="73"/>
      <c r="C1566" s="74"/>
      <c r="D1566" s="86" t="s">
        <v>1053</v>
      </c>
      <c r="E1566" s="74"/>
      <c r="F1566" s="354">
        <v>1</v>
      </c>
      <c r="G1566" s="369"/>
      <c r="H1566" s="369"/>
      <c r="I1566" s="355"/>
      <c r="J1566" s="76">
        <f>F1566</f>
        <v>1</v>
      </c>
    </row>
    <row r="1567" spans="1:10" ht="15" thickBot="1" x14ac:dyDescent="0.35">
      <c r="A1567" s="364" t="s">
        <v>64</v>
      </c>
      <c r="B1567" s="365"/>
      <c r="C1567" s="365"/>
      <c r="D1567" s="365"/>
      <c r="E1567" s="365"/>
      <c r="F1567" s="365"/>
      <c r="G1567" s="365"/>
      <c r="H1567" s="365"/>
      <c r="I1567" s="366"/>
      <c r="J1567" s="275">
        <f>SUM(J1565:J1566)</f>
        <v>1</v>
      </c>
    </row>
    <row r="1568" spans="1:10" x14ac:dyDescent="0.3">
      <c r="A1568" s="247" t="str">
        <f>ORÇAMENTO!A483</f>
        <v>23.10</v>
      </c>
      <c r="B1568" s="73" t="str">
        <f>ORÇAMENTO!B483</f>
        <v>GOINFRA</v>
      </c>
      <c r="C1568" s="74">
        <f>ORÇAMENTO!C483</f>
        <v>271103</v>
      </c>
      <c r="D1568" s="86" t="str">
        <f>ORÇAMENTO!D483</f>
        <v xml:space="preserve">CONJUNTO PARA VOLEIBOL EM FERRO GALVANIZADO COM PINTURA (2 SUPORTES) </v>
      </c>
      <c r="E1568" s="74" t="str">
        <f>ORÇAMENTO!F483</f>
        <v xml:space="preserve">CJ </v>
      </c>
      <c r="F1568" s="371" t="s">
        <v>89</v>
      </c>
      <c r="G1568" s="372"/>
      <c r="H1568" s="372"/>
      <c r="I1568" s="373"/>
      <c r="J1568" s="79" t="s">
        <v>86</v>
      </c>
    </row>
    <row r="1569" spans="1:10" x14ac:dyDescent="0.3">
      <c r="A1569" s="247"/>
      <c r="B1569" s="73"/>
      <c r="C1569" s="74"/>
      <c r="D1569" s="86" t="s">
        <v>1053</v>
      </c>
      <c r="E1569" s="74"/>
      <c r="F1569" s="354">
        <v>1</v>
      </c>
      <c r="G1569" s="369"/>
      <c r="H1569" s="369"/>
      <c r="I1569" s="355"/>
      <c r="J1569" s="76">
        <f>F1569</f>
        <v>1</v>
      </c>
    </row>
    <row r="1570" spans="1:10" ht="15" thickBot="1" x14ac:dyDescent="0.35">
      <c r="A1570" s="364" t="s">
        <v>64</v>
      </c>
      <c r="B1570" s="365"/>
      <c r="C1570" s="365"/>
      <c r="D1570" s="365"/>
      <c r="E1570" s="365"/>
      <c r="F1570" s="365"/>
      <c r="G1570" s="365"/>
      <c r="H1570" s="365"/>
      <c r="I1570" s="366"/>
      <c r="J1570" s="275">
        <f>SUM(J1568:J1569)</f>
        <v>1</v>
      </c>
    </row>
    <row r="1571" spans="1:10" ht="28.8" x14ac:dyDescent="0.3">
      <c r="A1571" s="247" t="str">
        <f>ORÇAMENTO!A484</f>
        <v>23.11</v>
      </c>
      <c r="B1571" s="73" t="str">
        <f>ORÇAMENTO!B484</f>
        <v>GOINFRA</v>
      </c>
      <c r="C1571" s="74">
        <f>ORÇAMENTO!C484</f>
        <v>271105</v>
      </c>
      <c r="D1571" s="86" t="str">
        <f>ORÇAMENTO!D484</f>
        <v>TRAVES EM FERRO GALVANIZADO PARA CAMPO DE FUTEBOL (ASSENT./PINTADAS) 7,32X2,44M - 2 UNID.</v>
      </c>
      <c r="E1571" s="74" t="str">
        <f>ORÇAMENTO!F484</f>
        <v>CJ</v>
      </c>
      <c r="F1571" s="371" t="s">
        <v>89</v>
      </c>
      <c r="G1571" s="372"/>
      <c r="H1571" s="372"/>
      <c r="I1571" s="373"/>
      <c r="J1571" s="79" t="s">
        <v>86</v>
      </c>
    </row>
    <row r="1572" spans="1:10" x14ac:dyDescent="0.3">
      <c r="A1572" s="247"/>
      <c r="B1572" s="73"/>
      <c r="C1572" s="74"/>
      <c r="D1572" s="86" t="s">
        <v>1053</v>
      </c>
      <c r="E1572" s="74"/>
      <c r="F1572" s="354">
        <v>1</v>
      </c>
      <c r="G1572" s="369"/>
      <c r="H1572" s="369"/>
      <c r="I1572" s="355"/>
      <c r="J1572" s="76">
        <f>F1572</f>
        <v>1</v>
      </c>
    </row>
    <row r="1573" spans="1:10" x14ac:dyDescent="0.3">
      <c r="A1573" s="247"/>
      <c r="B1573" s="73"/>
      <c r="C1573" s="74"/>
      <c r="D1573" s="86" t="s">
        <v>95</v>
      </c>
      <c r="E1573" s="74"/>
      <c r="F1573" s="354">
        <v>1</v>
      </c>
      <c r="G1573" s="369"/>
      <c r="H1573" s="369"/>
      <c r="I1573" s="355"/>
      <c r="J1573" s="76">
        <v>1</v>
      </c>
    </row>
    <row r="1574" spans="1:10" ht="15" thickBot="1" x14ac:dyDescent="0.35">
      <c r="A1574" s="364" t="s">
        <v>64</v>
      </c>
      <c r="B1574" s="365"/>
      <c r="C1574" s="365"/>
      <c r="D1574" s="365"/>
      <c r="E1574" s="365"/>
      <c r="F1574" s="365"/>
      <c r="G1574" s="365"/>
      <c r="H1574" s="365"/>
      <c r="I1574" s="366"/>
      <c r="J1574" s="275">
        <f>SUM(J1572:J1573)</f>
        <v>2</v>
      </c>
    </row>
    <row r="1575" spans="1:10" ht="28.8" x14ac:dyDescent="0.3">
      <c r="A1575" s="247" t="str">
        <f>ORÇAMENTO!A485</f>
        <v>23.12</v>
      </c>
      <c r="B1575" s="73" t="str">
        <f>ORÇAMENTO!B485</f>
        <v>GOINFRA</v>
      </c>
      <c r="C1575" s="74">
        <f>ORÇAMENTO!C485</f>
        <v>271303</v>
      </c>
      <c r="D1575" s="86" t="str">
        <f>ORÇAMENTO!D485</f>
        <v>BANCO DE CONCRETO POLIDO BASE EM ALVENARIA REBOCADA E PINTADA - PADRÃO GOINFRA</v>
      </c>
      <c r="E1575" s="74" t="str">
        <f>ORÇAMENTO!F485</f>
        <v>m</v>
      </c>
      <c r="F1575" s="377" t="s">
        <v>101</v>
      </c>
      <c r="G1575" s="378"/>
      <c r="H1575" s="371" t="s">
        <v>89</v>
      </c>
      <c r="I1575" s="373"/>
      <c r="J1575" s="76" t="s">
        <v>86</v>
      </c>
    </row>
    <row r="1576" spans="1:10" x14ac:dyDescent="0.3">
      <c r="A1576" s="247"/>
      <c r="B1576" s="73"/>
      <c r="C1576" s="74"/>
      <c r="D1576" s="86" t="s">
        <v>1092</v>
      </c>
      <c r="E1576" s="74"/>
      <c r="F1576" s="358">
        <v>1.5</v>
      </c>
      <c r="G1576" s="359"/>
      <c r="H1576" s="354">
        <v>12</v>
      </c>
      <c r="I1576" s="355"/>
      <c r="J1576" s="76">
        <f>H1576*F1576</f>
        <v>18</v>
      </c>
    </row>
    <row r="1577" spans="1:10" ht="15" thickBot="1" x14ac:dyDescent="0.35">
      <c r="A1577" s="364" t="s">
        <v>64</v>
      </c>
      <c r="B1577" s="365"/>
      <c r="C1577" s="365"/>
      <c r="D1577" s="365"/>
      <c r="E1577" s="365"/>
      <c r="F1577" s="365"/>
      <c r="G1577" s="365"/>
      <c r="H1577" s="365"/>
      <c r="I1577" s="366"/>
      <c r="J1577" s="76">
        <f>SUM(J1576)</f>
        <v>18</v>
      </c>
    </row>
    <row r="1578" spans="1:10" x14ac:dyDescent="0.3">
      <c r="A1578" s="247" t="str">
        <f>ORÇAMENTO!A486</f>
        <v>23.13</v>
      </c>
      <c r="B1578" s="73" t="str">
        <f>ORÇAMENTO!B486</f>
        <v>GOINFRA</v>
      </c>
      <c r="C1578" s="74">
        <f>ORÇAMENTO!C486</f>
        <v>271605</v>
      </c>
      <c r="D1578" s="86" t="str">
        <f>ORÇAMENTO!D486</f>
        <v xml:space="preserve">SUPORTE PARA BANCADA EM FERRO "T" 1/8" X 1 1/4" </v>
      </c>
      <c r="E1578" s="74" t="str">
        <f>ORÇAMENTO!F486</f>
        <v>und.</v>
      </c>
      <c r="F1578" s="371" t="s">
        <v>89</v>
      </c>
      <c r="G1578" s="372"/>
      <c r="H1578" s="372"/>
      <c r="I1578" s="373"/>
      <c r="J1578" s="76" t="s">
        <v>86</v>
      </c>
    </row>
    <row r="1579" spans="1:10" x14ac:dyDescent="0.3">
      <c r="A1579" s="256"/>
      <c r="B1579" s="106"/>
      <c r="C1579" s="107"/>
      <c r="D1579" s="122" t="s">
        <v>1093</v>
      </c>
      <c r="E1579" s="107"/>
      <c r="F1579" s="354">
        <v>2</v>
      </c>
      <c r="G1579" s="369"/>
      <c r="H1579" s="369"/>
      <c r="I1579" s="355"/>
      <c r="J1579" s="76">
        <f>F1579</f>
        <v>2</v>
      </c>
    </row>
    <row r="1580" spans="1:10" x14ac:dyDescent="0.3">
      <c r="A1580" s="256"/>
      <c r="B1580" s="106"/>
      <c r="C1580" s="107"/>
      <c r="D1580" s="122" t="s">
        <v>1094</v>
      </c>
      <c r="E1580" s="107"/>
      <c r="F1580" s="354">
        <v>2</v>
      </c>
      <c r="G1580" s="369"/>
      <c r="H1580" s="369"/>
      <c r="I1580" s="355"/>
      <c r="J1580" s="76">
        <f t="shared" ref="J1580:J1603" si="20">F1580</f>
        <v>2</v>
      </c>
    </row>
    <row r="1581" spans="1:10" x14ac:dyDescent="0.3">
      <c r="A1581" s="256"/>
      <c r="B1581" s="106"/>
      <c r="C1581" s="107"/>
      <c r="D1581" s="122" t="s">
        <v>896</v>
      </c>
      <c r="E1581" s="107"/>
      <c r="F1581" s="354">
        <v>2</v>
      </c>
      <c r="G1581" s="369"/>
      <c r="H1581" s="369"/>
      <c r="I1581" s="355"/>
      <c r="J1581" s="76">
        <f t="shared" si="20"/>
        <v>2</v>
      </c>
    </row>
    <row r="1582" spans="1:10" x14ac:dyDescent="0.3">
      <c r="A1582" s="256"/>
      <c r="B1582" s="106"/>
      <c r="C1582" s="107"/>
      <c r="D1582" s="122" t="s">
        <v>1095</v>
      </c>
      <c r="E1582" s="107"/>
      <c r="F1582" s="354">
        <v>2</v>
      </c>
      <c r="G1582" s="369"/>
      <c r="H1582" s="369"/>
      <c r="I1582" s="355"/>
      <c r="J1582" s="76">
        <f t="shared" si="20"/>
        <v>2</v>
      </c>
    </row>
    <row r="1583" spans="1:10" x14ac:dyDescent="0.3">
      <c r="A1583" s="256"/>
      <c r="B1583" s="106"/>
      <c r="C1583" s="107"/>
      <c r="D1583" s="122" t="s">
        <v>923</v>
      </c>
      <c r="E1583" s="107"/>
      <c r="F1583" s="354">
        <v>2</v>
      </c>
      <c r="G1583" s="369"/>
      <c r="H1583" s="369"/>
      <c r="I1583" s="355"/>
      <c r="J1583" s="76">
        <f t="shared" si="20"/>
        <v>2</v>
      </c>
    </row>
    <row r="1584" spans="1:10" x14ac:dyDescent="0.3">
      <c r="A1584" s="256"/>
      <c r="B1584" s="106"/>
      <c r="C1584" s="107"/>
      <c r="D1584" s="122" t="s">
        <v>779</v>
      </c>
      <c r="E1584" s="107"/>
      <c r="F1584" s="354">
        <v>2</v>
      </c>
      <c r="G1584" s="369"/>
      <c r="H1584" s="369"/>
      <c r="I1584" s="355"/>
      <c r="J1584" s="76">
        <f t="shared" si="20"/>
        <v>2</v>
      </c>
    </row>
    <row r="1585" spans="1:10" x14ac:dyDescent="0.3">
      <c r="A1585" s="256"/>
      <c r="B1585" s="106"/>
      <c r="C1585" s="107"/>
      <c r="D1585" s="122" t="s">
        <v>1096</v>
      </c>
      <c r="E1585" s="107" t="s">
        <v>1097</v>
      </c>
      <c r="F1585" s="358">
        <v>6</v>
      </c>
      <c r="G1585" s="387"/>
      <c r="H1585" s="387"/>
      <c r="I1585" s="359"/>
      <c r="J1585" s="76">
        <f t="shared" si="20"/>
        <v>6</v>
      </c>
    </row>
    <row r="1586" spans="1:10" x14ac:dyDescent="0.3">
      <c r="A1586" s="256"/>
      <c r="B1586" s="106"/>
      <c r="C1586" s="107"/>
      <c r="D1586" s="122" t="s">
        <v>1099</v>
      </c>
      <c r="E1586" s="107"/>
      <c r="F1586" s="354">
        <v>2</v>
      </c>
      <c r="G1586" s="369"/>
      <c r="H1586" s="369"/>
      <c r="I1586" s="355"/>
      <c r="J1586" s="76">
        <f t="shared" si="20"/>
        <v>2</v>
      </c>
    </row>
    <row r="1587" spans="1:10" x14ac:dyDescent="0.3">
      <c r="A1587" s="256"/>
      <c r="B1587" s="106"/>
      <c r="C1587" s="107"/>
      <c r="D1587" s="122" t="s">
        <v>1100</v>
      </c>
      <c r="E1587" s="107"/>
      <c r="F1587" s="354">
        <v>2</v>
      </c>
      <c r="G1587" s="369"/>
      <c r="H1587" s="369"/>
      <c r="I1587" s="355"/>
      <c r="J1587" s="76">
        <f t="shared" si="20"/>
        <v>2</v>
      </c>
    </row>
    <row r="1588" spans="1:10" x14ac:dyDescent="0.3">
      <c r="A1588" s="256"/>
      <c r="B1588" s="106"/>
      <c r="C1588" s="107"/>
      <c r="D1588" s="122" t="s">
        <v>1101</v>
      </c>
      <c r="E1588" s="107"/>
      <c r="F1588" s="354">
        <v>2</v>
      </c>
      <c r="G1588" s="369"/>
      <c r="H1588" s="369"/>
      <c r="I1588" s="355"/>
      <c r="J1588" s="76">
        <f t="shared" si="20"/>
        <v>2</v>
      </c>
    </row>
    <row r="1589" spans="1:10" x14ac:dyDescent="0.3">
      <c r="A1589" s="256"/>
      <c r="B1589" s="106"/>
      <c r="C1589" s="107"/>
      <c r="D1589" s="122" t="s">
        <v>1102</v>
      </c>
      <c r="E1589" s="107"/>
      <c r="F1589" s="354">
        <v>2</v>
      </c>
      <c r="G1589" s="369"/>
      <c r="H1589" s="369"/>
      <c r="I1589" s="355"/>
      <c r="J1589" s="76">
        <f t="shared" si="20"/>
        <v>2</v>
      </c>
    </row>
    <row r="1590" spans="1:10" x14ac:dyDescent="0.3">
      <c r="A1590" s="256"/>
      <c r="B1590" s="106"/>
      <c r="C1590" s="107"/>
      <c r="D1590" s="122" t="s">
        <v>1103</v>
      </c>
      <c r="E1590" s="107"/>
      <c r="F1590" s="354">
        <v>2</v>
      </c>
      <c r="G1590" s="369"/>
      <c r="H1590" s="369"/>
      <c r="I1590" s="355"/>
      <c r="J1590" s="76">
        <f t="shared" si="20"/>
        <v>2</v>
      </c>
    </row>
    <row r="1591" spans="1:10" x14ac:dyDescent="0.3">
      <c r="A1591" s="256"/>
      <c r="B1591" s="106"/>
      <c r="C1591" s="107"/>
      <c r="D1591" s="122" t="s">
        <v>729</v>
      </c>
      <c r="E1591" s="107"/>
      <c r="F1591" s="354">
        <v>2</v>
      </c>
      <c r="G1591" s="369"/>
      <c r="H1591" s="369"/>
      <c r="I1591" s="355"/>
      <c r="J1591" s="76">
        <f t="shared" si="20"/>
        <v>2</v>
      </c>
    </row>
    <row r="1592" spans="1:10" x14ac:dyDescent="0.3">
      <c r="A1592" s="256"/>
      <c r="B1592" s="106"/>
      <c r="C1592" s="107"/>
      <c r="D1592" s="122" t="s">
        <v>1104</v>
      </c>
      <c r="E1592" s="107"/>
      <c r="F1592" s="354">
        <v>2</v>
      </c>
      <c r="G1592" s="369"/>
      <c r="H1592" s="369"/>
      <c r="I1592" s="355"/>
      <c r="J1592" s="76">
        <f t="shared" si="20"/>
        <v>2</v>
      </c>
    </row>
    <row r="1593" spans="1:10" x14ac:dyDescent="0.3">
      <c r="A1593" s="256"/>
      <c r="B1593" s="106"/>
      <c r="C1593" s="107"/>
      <c r="D1593" s="122" t="s">
        <v>1105</v>
      </c>
      <c r="E1593" s="107"/>
      <c r="F1593" s="354">
        <v>2</v>
      </c>
      <c r="G1593" s="369"/>
      <c r="H1593" s="369"/>
      <c r="I1593" s="355"/>
      <c r="J1593" s="76">
        <f t="shared" si="20"/>
        <v>2</v>
      </c>
    </row>
    <row r="1594" spans="1:10" x14ac:dyDescent="0.3">
      <c r="A1594" s="256"/>
      <c r="B1594" s="106"/>
      <c r="C1594" s="107"/>
      <c r="D1594" s="122" t="s">
        <v>1106</v>
      </c>
      <c r="E1594" s="107"/>
      <c r="F1594" s="354">
        <v>2</v>
      </c>
      <c r="G1594" s="369"/>
      <c r="H1594" s="369"/>
      <c r="I1594" s="355"/>
      <c r="J1594" s="76">
        <f t="shared" si="20"/>
        <v>2</v>
      </c>
    </row>
    <row r="1595" spans="1:10" x14ac:dyDescent="0.3">
      <c r="A1595" s="256"/>
      <c r="B1595" s="106"/>
      <c r="C1595" s="107"/>
      <c r="D1595" s="122" t="s">
        <v>1107</v>
      </c>
      <c r="E1595" s="107"/>
      <c r="F1595" s="354">
        <v>2</v>
      </c>
      <c r="G1595" s="369"/>
      <c r="H1595" s="369"/>
      <c r="I1595" s="355"/>
      <c r="J1595" s="76">
        <f t="shared" si="20"/>
        <v>2</v>
      </c>
    </row>
    <row r="1596" spans="1:10" x14ac:dyDescent="0.3">
      <c r="A1596" s="256"/>
      <c r="B1596" s="106"/>
      <c r="C1596" s="107"/>
      <c r="D1596" s="122" t="s">
        <v>626</v>
      </c>
      <c r="E1596" s="107"/>
      <c r="F1596" s="354">
        <v>2</v>
      </c>
      <c r="G1596" s="369"/>
      <c r="H1596" s="369"/>
      <c r="I1596" s="355"/>
      <c r="J1596" s="76">
        <f t="shared" si="20"/>
        <v>2</v>
      </c>
    </row>
    <row r="1597" spans="1:10" x14ac:dyDescent="0.3">
      <c r="A1597" s="256"/>
      <c r="B1597" s="106"/>
      <c r="C1597" s="107"/>
      <c r="D1597" s="122" t="s">
        <v>1108</v>
      </c>
      <c r="E1597" s="107"/>
      <c r="F1597" s="354">
        <v>2</v>
      </c>
      <c r="G1597" s="369"/>
      <c r="H1597" s="369"/>
      <c r="I1597" s="355"/>
      <c r="J1597" s="76">
        <f t="shared" si="20"/>
        <v>2</v>
      </c>
    </row>
    <row r="1598" spans="1:10" x14ac:dyDescent="0.3">
      <c r="A1598" s="256"/>
      <c r="B1598" s="106"/>
      <c r="C1598" s="107"/>
      <c r="D1598" s="122" t="s">
        <v>1109</v>
      </c>
      <c r="E1598" s="107"/>
      <c r="F1598" s="354">
        <v>2</v>
      </c>
      <c r="G1598" s="369"/>
      <c r="H1598" s="369"/>
      <c r="I1598" s="355"/>
      <c r="J1598" s="76">
        <f t="shared" si="20"/>
        <v>2</v>
      </c>
    </row>
    <row r="1599" spans="1:10" x14ac:dyDescent="0.3">
      <c r="A1599" s="256"/>
      <c r="B1599" s="106"/>
      <c r="C1599" s="107"/>
      <c r="D1599" s="122" t="s">
        <v>1110</v>
      </c>
      <c r="E1599" s="107"/>
      <c r="F1599" s="354">
        <v>2</v>
      </c>
      <c r="G1599" s="369"/>
      <c r="H1599" s="369"/>
      <c r="I1599" s="355"/>
      <c r="J1599" s="76">
        <f t="shared" si="20"/>
        <v>2</v>
      </c>
    </row>
    <row r="1600" spans="1:10" x14ac:dyDescent="0.3">
      <c r="A1600" s="256"/>
      <c r="B1600" s="106"/>
      <c r="C1600" s="107"/>
      <c r="D1600" s="122" t="s">
        <v>1111</v>
      </c>
      <c r="E1600" s="107"/>
      <c r="F1600" s="354">
        <v>2</v>
      </c>
      <c r="G1600" s="369"/>
      <c r="H1600" s="369"/>
      <c r="I1600" s="355"/>
      <c r="J1600" s="76">
        <f t="shared" si="20"/>
        <v>2</v>
      </c>
    </row>
    <row r="1601" spans="1:10" x14ac:dyDescent="0.3">
      <c r="A1601" s="256"/>
      <c r="B1601" s="106"/>
      <c r="C1601" s="107"/>
      <c r="D1601" s="122" t="s">
        <v>1112</v>
      </c>
      <c r="E1601" s="107"/>
      <c r="F1601" s="354">
        <v>2</v>
      </c>
      <c r="G1601" s="369"/>
      <c r="H1601" s="369"/>
      <c r="I1601" s="355"/>
      <c r="J1601" s="76">
        <f t="shared" si="20"/>
        <v>2</v>
      </c>
    </row>
    <row r="1602" spans="1:10" x14ac:dyDescent="0.3">
      <c r="A1602" s="256"/>
      <c r="B1602" s="106"/>
      <c r="C1602" s="107"/>
      <c r="D1602" s="122" t="s">
        <v>628</v>
      </c>
      <c r="E1602" s="123" t="s">
        <v>1113</v>
      </c>
      <c r="F1602" s="354">
        <v>4</v>
      </c>
      <c r="G1602" s="369"/>
      <c r="H1602" s="369"/>
      <c r="I1602" s="355"/>
      <c r="J1602" s="76">
        <f t="shared" si="20"/>
        <v>4</v>
      </c>
    </row>
    <row r="1603" spans="1:10" x14ac:dyDescent="0.3">
      <c r="A1603" s="256"/>
      <c r="B1603" s="106"/>
      <c r="C1603" s="107"/>
      <c r="D1603" s="122" t="s">
        <v>737</v>
      </c>
      <c r="E1603" s="107"/>
      <c r="F1603" s="354">
        <v>9</v>
      </c>
      <c r="G1603" s="369"/>
      <c r="H1603" s="369"/>
      <c r="I1603" s="355"/>
      <c r="J1603" s="76">
        <f t="shared" si="20"/>
        <v>9</v>
      </c>
    </row>
    <row r="1604" spans="1:10" ht="15" thickBot="1" x14ac:dyDescent="0.35">
      <c r="A1604" s="364" t="s">
        <v>64</v>
      </c>
      <c r="B1604" s="365"/>
      <c r="C1604" s="365"/>
      <c r="D1604" s="365"/>
      <c r="E1604" s="365"/>
      <c r="F1604" s="365"/>
      <c r="G1604" s="365"/>
      <c r="H1604" s="365"/>
      <c r="I1604" s="366"/>
      <c r="J1604" s="275">
        <f>SUM(J1579:J1603)</f>
        <v>63</v>
      </c>
    </row>
    <row r="1605" spans="1:10" x14ac:dyDescent="0.3">
      <c r="A1605" s="247" t="str">
        <f>ORÇAMENTO!A487</f>
        <v>23.14</v>
      </c>
      <c r="B1605" s="73" t="str">
        <f>ORÇAMENTO!B487</f>
        <v>GOINFRA</v>
      </c>
      <c r="C1605" s="74">
        <f>ORÇAMENTO!C487</f>
        <v>271608</v>
      </c>
      <c r="D1605" s="86" t="str">
        <f>ORÇAMENTO!D487</f>
        <v>BANCADA DE GRANITO C/ESPELHO</v>
      </c>
      <c r="E1605" s="74" t="str">
        <f>ORÇAMENTO!F487</f>
        <v xml:space="preserve">m2 </v>
      </c>
      <c r="F1605" s="377" t="s">
        <v>115</v>
      </c>
      <c r="G1605" s="378"/>
      <c r="H1605" s="371" t="s">
        <v>117</v>
      </c>
      <c r="I1605" s="373"/>
      <c r="J1605" s="76" t="s">
        <v>86</v>
      </c>
    </row>
    <row r="1606" spans="1:10" x14ac:dyDescent="0.3">
      <c r="A1606" s="256"/>
      <c r="B1606" s="106"/>
      <c r="C1606" s="107"/>
      <c r="D1606" s="122" t="s">
        <v>1093</v>
      </c>
      <c r="E1606" s="107"/>
      <c r="F1606" s="358">
        <v>2.4</v>
      </c>
      <c r="G1606" s="359"/>
      <c r="H1606" s="354">
        <v>0.55000000000000004</v>
      </c>
      <c r="I1606" s="355"/>
      <c r="J1606" s="76">
        <f>H1606*F1606</f>
        <v>1.32</v>
      </c>
    </row>
    <row r="1607" spans="1:10" x14ac:dyDescent="0.3">
      <c r="A1607" s="256"/>
      <c r="B1607" s="106"/>
      <c r="C1607" s="107"/>
      <c r="D1607" s="122" t="s">
        <v>1094</v>
      </c>
      <c r="E1607" s="107"/>
      <c r="F1607" s="358">
        <v>0.7</v>
      </c>
      <c r="G1607" s="359"/>
      <c r="H1607" s="354">
        <v>0.45</v>
      </c>
      <c r="I1607" s="355"/>
      <c r="J1607" s="76">
        <f t="shared" ref="J1607:J1629" si="21">H1607*F1607</f>
        <v>0.315</v>
      </c>
    </row>
    <row r="1608" spans="1:10" x14ac:dyDescent="0.3">
      <c r="A1608" s="256"/>
      <c r="B1608" s="106"/>
      <c r="C1608" s="107"/>
      <c r="D1608" s="122" t="s">
        <v>896</v>
      </c>
      <c r="E1608" s="107"/>
      <c r="F1608" s="358">
        <v>0.7</v>
      </c>
      <c r="G1608" s="359"/>
      <c r="H1608" s="354">
        <v>0.45</v>
      </c>
      <c r="I1608" s="355"/>
      <c r="J1608" s="76">
        <f t="shared" si="21"/>
        <v>0.315</v>
      </c>
    </row>
    <row r="1609" spans="1:10" x14ac:dyDescent="0.3">
      <c r="A1609" s="256"/>
      <c r="B1609" s="106"/>
      <c r="C1609" s="107"/>
      <c r="D1609" s="122" t="s">
        <v>1095</v>
      </c>
      <c r="E1609" s="107"/>
      <c r="F1609" s="358">
        <v>0.7</v>
      </c>
      <c r="G1609" s="359"/>
      <c r="H1609" s="354">
        <v>0.45</v>
      </c>
      <c r="I1609" s="355"/>
      <c r="J1609" s="76">
        <f t="shared" si="21"/>
        <v>0.315</v>
      </c>
    </row>
    <row r="1610" spans="1:10" x14ac:dyDescent="0.3">
      <c r="A1610" s="256"/>
      <c r="B1610" s="106"/>
      <c r="C1610" s="107"/>
      <c r="D1610" s="122" t="s">
        <v>923</v>
      </c>
      <c r="E1610" s="107"/>
      <c r="F1610" s="358">
        <v>0.7</v>
      </c>
      <c r="G1610" s="359"/>
      <c r="H1610" s="354">
        <v>0.45</v>
      </c>
      <c r="I1610" s="355"/>
      <c r="J1610" s="76">
        <f t="shared" si="21"/>
        <v>0.315</v>
      </c>
    </row>
    <row r="1611" spans="1:10" x14ac:dyDescent="0.3">
      <c r="A1611" s="256"/>
      <c r="B1611" s="106"/>
      <c r="C1611" s="107"/>
      <c r="D1611" s="122" t="s">
        <v>779</v>
      </c>
      <c r="E1611" s="107"/>
      <c r="F1611" s="358">
        <v>1.85</v>
      </c>
      <c r="G1611" s="359"/>
      <c r="H1611" s="354">
        <v>0.7</v>
      </c>
      <c r="I1611" s="355"/>
      <c r="J1611" s="76">
        <f t="shared" si="21"/>
        <v>1.2949999999999999</v>
      </c>
    </row>
    <row r="1612" spans="1:10" x14ac:dyDescent="0.3">
      <c r="A1612" s="256"/>
      <c r="B1612" s="106"/>
      <c r="C1612" s="107"/>
      <c r="D1612" s="122" t="s">
        <v>1096</v>
      </c>
      <c r="E1612" s="107" t="s">
        <v>1097</v>
      </c>
      <c r="F1612" s="358" t="s">
        <v>1098</v>
      </c>
      <c r="G1612" s="359"/>
      <c r="H1612" s="354">
        <v>0.5</v>
      </c>
      <c r="I1612" s="355"/>
      <c r="J1612" s="76">
        <f>H1612*(2.2+2.3+1.95)</f>
        <v>3.2250000000000001</v>
      </c>
    </row>
    <row r="1613" spans="1:10" x14ac:dyDescent="0.3">
      <c r="A1613" s="256"/>
      <c r="B1613" s="106"/>
      <c r="C1613" s="107"/>
      <c r="D1613" s="122" t="s">
        <v>1099</v>
      </c>
      <c r="E1613" s="107"/>
      <c r="F1613" s="358">
        <v>0.7</v>
      </c>
      <c r="G1613" s="359"/>
      <c r="H1613" s="354">
        <v>0.45</v>
      </c>
      <c r="I1613" s="355"/>
      <c r="J1613" s="76">
        <f t="shared" si="21"/>
        <v>0.315</v>
      </c>
    </row>
    <row r="1614" spans="1:10" x14ac:dyDescent="0.3">
      <c r="A1614" s="256"/>
      <c r="B1614" s="106"/>
      <c r="C1614" s="107"/>
      <c r="D1614" s="122" t="s">
        <v>1100</v>
      </c>
      <c r="E1614" s="107"/>
      <c r="F1614" s="358">
        <v>0.7</v>
      </c>
      <c r="G1614" s="359"/>
      <c r="H1614" s="354">
        <v>0.45</v>
      </c>
      <c r="I1614" s="355"/>
      <c r="J1614" s="76">
        <f t="shared" si="21"/>
        <v>0.315</v>
      </c>
    </row>
    <row r="1615" spans="1:10" x14ac:dyDescent="0.3">
      <c r="A1615" s="256"/>
      <c r="B1615" s="106"/>
      <c r="C1615" s="107"/>
      <c r="D1615" s="122" t="s">
        <v>1101</v>
      </c>
      <c r="E1615" s="107"/>
      <c r="F1615" s="358">
        <v>0.7</v>
      </c>
      <c r="G1615" s="359"/>
      <c r="H1615" s="354">
        <v>0.45</v>
      </c>
      <c r="I1615" s="355"/>
      <c r="J1615" s="76">
        <f t="shared" si="21"/>
        <v>0.315</v>
      </c>
    </row>
    <row r="1616" spans="1:10" x14ac:dyDescent="0.3">
      <c r="A1616" s="256"/>
      <c r="B1616" s="106"/>
      <c r="C1616" s="107"/>
      <c r="D1616" s="122" t="s">
        <v>1102</v>
      </c>
      <c r="E1616" s="107"/>
      <c r="F1616" s="358">
        <v>0.7</v>
      </c>
      <c r="G1616" s="359"/>
      <c r="H1616" s="354">
        <v>0.45</v>
      </c>
      <c r="I1616" s="355"/>
      <c r="J1616" s="76">
        <f t="shared" si="21"/>
        <v>0.315</v>
      </c>
    </row>
    <row r="1617" spans="1:10" x14ac:dyDescent="0.3">
      <c r="A1617" s="256"/>
      <c r="B1617" s="106"/>
      <c r="C1617" s="107"/>
      <c r="D1617" s="122" t="s">
        <v>1103</v>
      </c>
      <c r="E1617" s="107"/>
      <c r="F1617" s="358">
        <v>0.7</v>
      </c>
      <c r="G1617" s="359"/>
      <c r="H1617" s="354">
        <v>0.45</v>
      </c>
      <c r="I1617" s="355"/>
      <c r="J1617" s="76">
        <f t="shared" si="21"/>
        <v>0.315</v>
      </c>
    </row>
    <row r="1618" spans="1:10" x14ac:dyDescent="0.3">
      <c r="A1618" s="256"/>
      <c r="B1618" s="106"/>
      <c r="C1618" s="107"/>
      <c r="D1618" s="122" t="s">
        <v>729</v>
      </c>
      <c r="E1618" s="107"/>
      <c r="F1618" s="358">
        <v>0.7</v>
      </c>
      <c r="G1618" s="359"/>
      <c r="H1618" s="354">
        <v>0.45</v>
      </c>
      <c r="I1618" s="355"/>
      <c r="J1618" s="76">
        <f t="shared" si="21"/>
        <v>0.315</v>
      </c>
    </row>
    <row r="1619" spans="1:10" x14ac:dyDescent="0.3">
      <c r="A1619" s="256"/>
      <c r="B1619" s="106"/>
      <c r="C1619" s="107"/>
      <c r="D1619" s="122" t="s">
        <v>1104</v>
      </c>
      <c r="E1619" s="107"/>
      <c r="F1619" s="358">
        <v>0.7</v>
      </c>
      <c r="G1619" s="359"/>
      <c r="H1619" s="354">
        <v>0.45</v>
      </c>
      <c r="I1619" s="355"/>
      <c r="J1619" s="76">
        <f t="shared" si="21"/>
        <v>0.315</v>
      </c>
    </row>
    <row r="1620" spans="1:10" x14ac:dyDescent="0.3">
      <c r="A1620" s="256"/>
      <c r="B1620" s="106"/>
      <c r="C1620" s="107"/>
      <c r="D1620" s="122" t="s">
        <v>1105</v>
      </c>
      <c r="E1620" s="107"/>
      <c r="F1620" s="358">
        <v>0.7</v>
      </c>
      <c r="G1620" s="359"/>
      <c r="H1620" s="354">
        <v>0.45</v>
      </c>
      <c r="I1620" s="355"/>
      <c r="J1620" s="76">
        <f t="shared" si="21"/>
        <v>0.315</v>
      </c>
    </row>
    <row r="1621" spans="1:10" x14ac:dyDescent="0.3">
      <c r="A1621" s="256"/>
      <c r="B1621" s="106"/>
      <c r="C1621" s="107"/>
      <c r="D1621" s="122" t="s">
        <v>1106</v>
      </c>
      <c r="E1621" s="107"/>
      <c r="F1621" s="358">
        <v>0.7</v>
      </c>
      <c r="G1621" s="359"/>
      <c r="H1621" s="354">
        <v>0.45</v>
      </c>
      <c r="I1621" s="355"/>
      <c r="J1621" s="76">
        <f t="shared" si="21"/>
        <v>0.315</v>
      </c>
    </row>
    <row r="1622" spans="1:10" x14ac:dyDescent="0.3">
      <c r="A1622" s="256"/>
      <c r="B1622" s="106"/>
      <c r="C1622" s="107"/>
      <c r="D1622" s="122" t="s">
        <v>1107</v>
      </c>
      <c r="E1622" s="107"/>
      <c r="F1622" s="358">
        <v>0.7</v>
      </c>
      <c r="G1622" s="359"/>
      <c r="H1622" s="354">
        <v>0.45</v>
      </c>
      <c r="I1622" s="355"/>
      <c r="J1622" s="76">
        <f t="shared" si="21"/>
        <v>0.315</v>
      </c>
    </row>
    <row r="1623" spans="1:10" x14ac:dyDescent="0.3">
      <c r="A1623" s="256"/>
      <c r="B1623" s="106"/>
      <c r="C1623" s="107"/>
      <c r="D1623" s="122" t="s">
        <v>626</v>
      </c>
      <c r="E1623" s="107"/>
      <c r="F1623" s="358">
        <v>2.4</v>
      </c>
      <c r="G1623" s="359"/>
      <c r="H1623" s="354">
        <v>0.55000000000000004</v>
      </c>
      <c r="I1623" s="355"/>
      <c r="J1623" s="76">
        <f t="shared" si="21"/>
        <v>1.32</v>
      </c>
    </row>
    <row r="1624" spans="1:10" x14ac:dyDescent="0.3">
      <c r="A1624" s="256"/>
      <c r="B1624" s="106"/>
      <c r="C1624" s="107"/>
      <c r="D1624" s="122" t="s">
        <v>1108</v>
      </c>
      <c r="E1624" s="107"/>
      <c r="F1624" s="358">
        <v>0.7</v>
      </c>
      <c r="G1624" s="359"/>
      <c r="H1624" s="354">
        <v>0.45</v>
      </c>
      <c r="I1624" s="355"/>
      <c r="J1624" s="76">
        <f t="shared" si="21"/>
        <v>0.315</v>
      </c>
    </row>
    <row r="1625" spans="1:10" x14ac:dyDescent="0.3">
      <c r="A1625" s="256"/>
      <c r="B1625" s="106"/>
      <c r="C1625" s="107"/>
      <c r="D1625" s="122" t="s">
        <v>1109</v>
      </c>
      <c r="E1625" s="107"/>
      <c r="F1625" s="358">
        <v>0.7</v>
      </c>
      <c r="G1625" s="359"/>
      <c r="H1625" s="354">
        <v>0.45</v>
      </c>
      <c r="I1625" s="355"/>
      <c r="J1625" s="76">
        <f t="shared" si="21"/>
        <v>0.315</v>
      </c>
    </row>
    <row r="1626" spans="1:10" x14ac:dyDescent="0.3">
      <c r="A1626" s="256"/>
      <c r="B1626" s="106"/>
      <c r="C1626" s="107"/>
      <c r="D1626" s="122" t="s">
        <v>1110</v>
      </c>
      <c r="E1626" s="107"/>
      <c r="F1626" s="358">
        <v>0.7</v>
      </c>
      <c r="G1626" s="359"/>
      <c r="H1626" s="354">
        <v>0.45</v>
      </c>
      <c r="I1626" s="355"/>
      <c r="J1626" s="76">
        <f t="shared" si="21"/>
        <v>0.315</v>
      </c>
    </row>
    <row r="1627" spans="1:10" x14ac:dyDescent="0.3">
      <c r="A1627" s="256"/>
      <c r="B1627" s="106"/>
      <c r="C1627" s="107"/>
      <c r="D1627" s="122" t="s">
        <v>1111</v>
      </c>
      <c r="E1627" s="107"/>
      <c r="F1627" s="358">
        <v>0.7</v>
      </c>
      <c r="G1627" s="359"/>
      <c r="H1627" s="354">
        <v>0.45</v>
      </c>
      <c r="I1627" s="355"/>
      <c r="J1627" s="76">
        <f t="shared" si="21"/>
        <v>0.315</v>
      </c>
    </row>
    <row r="1628" spans="1:10" x14ac:dyDescent="0.3">
      <c r="A1628" s="256"/>
      <c r="B1628" s="106"/>
      <c r="C1628" s="107"/>
      <c r="D1628" s="122" t="s">
        <v>1112</v>
      </c>
      <c r="E1628" s="107"/>
      <c r="F1628" s="358">
        <v>0.7</v>
      </c>
      <c r="G1628" s="359"/>
      <c r="H1628" s="354">
        <v>0.45</v>
      </c>
      <c r="I1628" s="355"/>
      <c r="J1628" s="76">
        <f t="shared" si="21"/>
        <v>0.315</v>
      </c>
    </row>
    <row r="1629" spans="1:10" x14ac:dyDescent="0.3">
      <c r="A1629" s="256"/>
      <c r="B1629" s="106"/>
      <c r="C1629" s="107"/>
      <c r="D1629" s="122" t="s">
        <v>628</v>
      </c>
      <c r="E1629" s="123" t="s">
        <v>1113</v>
      </c>
      <c r="F1629" s="358">
        <v>4.25</v>
      </c>
      <c r="G1629" s="359"/>
      <c r="H1629" s="354">
        <v>0.8</v>
      </c>
      <c r="I1629" s="355"/>
      <c r="J1629" s="76">
        <f t="shared" si="21"/>
        <v>3.4000000000000004</v>
      </c>
    </row>
    <row r="1630" spans="1:10" x14ac:dyDescent="0.3">
      <c r="A1630" s="256"/>
      <c r="B1630" s="106"/>
      <c r="C1630" s="107"/>
      <c r="D1630" s="122" t="s">
        <v>737</v>
      </c>
      <c r="E1630" s="107"/>
      <c r="F1630" s="358" t="s">
        <v>1114</v>
      </c>
      <c r="G1630" s="359"/>
      <c r="H1630" s="354">
        <v>0.6</v>
      </c>
      <c r="I1630" s="355"/>
      <c r="J1630" s="76">
        <f>H1630*3*2.4</f>
        <v>4.3199999999999994</v>
      </c>
    </row>
    <row r="1631" spans="1:10" ht="15" thickBot="1" x14ac:dyDescent="0.35">
      <c r="A1631" s="364" t="s">
        <v>64</v>
      </c>
      <c r="B1631" s="365"/>
      <c r="C1631" s="365"/>
      <c r="D1631" s="365"/>
      <c r="E1631" s="365"/>
      <c r="F1631" s="365"/>
      <c r="G1631" s="365"/>
      <c r="H1631" s="365"/>
      <c r="I1631" s="366"/>
      <c r="J1631" s="275">
        <f>SUM(J1606:J1630)</f>
        <v>20.864999999999995</v>
      </c>
    </row>
    <row r="1632" spans="1:10" ht="28.8" x14ac:dyDescent="0.3">
      <c r="A1632" s="247" t="str">
        <f>ORÇAMENTO!A488</f>
        <v>23.15</v>
      </c>
      <c r="B1632" s="74" t="str">
        <f>ORÇAMENTO!B488</f>
        <v>SINAPI</v>
      </c>
      <c r="C1632" s="74">
        <f>ORÇAMENTO!C488</f>
        <v>84088</v>
      </c>
      <c r="D1632" s="75" t="str">
        <f>ORÇAMENTO!D488</f>
        <v>PEITORIL E MÁRMORE BRANCO, LARGURA DE 15 CM, ASSENTADO COM ARGAMASSA TRAÇO 1:4 (CIMENTO E AREIA MÉDIA, PREPARO MANUAL DA ARGAMASSA)</v>
      </c>
      <c r="E1632" s="74" t="s">
        <v>319</v>
      </c>
      <c r="F1632" s="371" t="s">
        <v>115</v>
      </c>
      <c r="G1632" s="372"/>
      <c r="H1632" s="372"/>
      <c r="I1632" s="373"/>
      <c r="J1632" s="76" t="s">
        <v>837</v>
      </c>
    </row>
    <row r="1633" spans="1:10" x14ac:dyDescent="0.3">
      <c r="A1633" s="247"/>
      <c r="B1633" s="73"/>
      <c r="C1633" s="74"/>
      <c r="D1633" s="86" t="s">
        <v>1568</v>
      </c>
      <c r="E1633" s="74"/>
      <c r="F1633" s="354">
        <v>89.8</v>
      </c>
      <c r="G1633" s="369"/>
      <c r="H1633" s="369"/>
      <c r="I1633" s="355"/>
      <c r="J1633" s="76">
        <f>F1633</f>
        <v>89.8</v>
      </c>
    </row>
    <row r="1634" spans="1:10" ht="15" thickBot="1" x14ac:dyDescent="0.35">
      <c r="A1634" s="364" t="s">
        <v>64</v>
      </c>
      <c r="B1634" s="365"/>
      <c r="C1634" s="365"/>
      <c r="D1634" s="365"/>
      <c r="E1634" s="365"/>
      <c r="F1634" s="365"/>
      <c r="G1634" s="365"/>
      <c r="H1634" s="365"/>
      <c r="I1634" s="366"/>
      <c r="J1634" s="275">
        <f>SUM(J1633)</f>
        <v>89.8</v>
      </c>
    </row>
    <row r="1635" spans="1:10" ht="57.6" x14ac:dyDescent="0.3">
      <c r="A1635" s="247" t="str">
        <f>ORÇAMENTO!A489</f>
        <v>23.16</v>
      </c>
      <c r="B1635" s="74" t="str">
        <f>ORÇAMENTO!B489</f>
        <v>GOINFRA</v>
      </c>
      <c r="C1635" s="74">
        <f>ORÇAMENTO!C489</f>
        <v>271714</v>
      </c>
      <c r="D1635" s="75" t="str">
        <f>ORÇAMENTO!D489</f>
        <v>MEIO FIO PD. GOINFRA EM CONC. PRÉ MOLD. RETO/CURVO (5X25X100CM), FC28=20MPA COM ARGAM.(1CI:3ARMLC) P/ARREMATE DO REJUNT. E PINTURA A CAL 2 DEMÃOS -INCLUSO ESCAV./APILOAM./REATERRO E CONC.FC28= 10MPA P/ ASSENTAM. ECHUMBAMENTO</v>
      </c>
      <c r="E1635" s="74" t="str">
        <f>ORÇAMENTO!F489</f>
        <v>m</v>
      </c>
      <c r="F1635" s="371" t="s">
        <v>115</v>
      </c>
      <c r="G1635" s="372"/>
      <c r="H1635" s="372"/>
      <c r="I1635" s="373"/>
      <c r="J1635" s="76" t="s">
        <v>837</v>
      </c>
    </row>
    <row r="1636" spans="1:10" x14ac:dyDescent="0.3">
      <c r="A1636" s="247"/>
      <c r="B1636" s="73"/>
      <c r="C1636" s="74"/>
      <c r="D1636" s="86" t="s">
        <v>1350</v>
      </c>
      <c r="E1636" s="74"/>
      <c r="F1636" s="354">
        <v>132</v>
      </c>
      <c r="G1636" s="369"/>
      <c r="H1636" s="369"/>
      <c r="I1636" s="355"/>
      <c r="J1636" s="76">
        <f>F1636</f>
        <v>132</v>
      </c>
    </row>
    <row r="1637" spans="1:10" ht="15" thickBot="1" x14ac:dyDescent="0.35">
      <c r="A1637" s="364" t="s">
        <v>64</v>
      </c>
      <c r="B1637" s="365"/>
      <c r="C1637" s="365"/>
      <c r="D1637" s="365"/>
      <c r="E1637" s="365"/>
      <c r="F1637" s="365"/>
      <c r="G1637" s="365"/>
      <c r="H1637" s="365"/>
      <c r="I1637" s="366"/>
      <c r="J1637" s="275">
        <f>SUM(J1636)</f>
        <v>132</v>
      </c>
    </row>
    <row r="1638" spans="1:10" ht="28.8" x14ac:dyDescent="0.3">
      <c r="A1638" s="247" t="str">
        <f>ORÇAMENTO!A490</f>
        <v>23.17</v>
      </c>
      <c r="B1638" s="73" t="str">
        <f>ORÇAMENTO!B490</f>
        <v>AGETOP - 135</v>
      </c>
      <c r="C1638" s="74">
        <f>ORÇAMENTO!C490</f>
        <v>41331</v>
      </c>
      <c r="D1638" s="86" t="str">
        <f>ORÇAMENTO!D490</f>
        <v xml:space="preserve">MEIO FIO COM SARJETA - MFC02 (AC/BC) </v>
      </c>
      <c r="E1638" s="74" t="str">
        <f>ORÇAMENTO!F490</f>
        <v xml:space="preserve">m </v>
      </c>
      <c r="F1638" s="371" t="s">
        <v>115</v>
      </c>
      <c r="G1638" s="372"/>
      <c r="H1638" s="372"/>
      <c r="I1638" s="373"/>
      <c r="J1638" s="76" t="s">
        <v>837</v>
      </c>
    </row>
    <row r="1639" spans="1:10" x14ac:dyDescent="0.3">
      <c r="A1639" s="247"/>
      <c r="B1639" s="73"/>
      <c r="C1639" s="74"/>
      <c r="D1639" s="86" t="s">
        <v>1363</v>
      </c>
      <c r="E1639" s="74"/>
      <c r="F1639" s="354" t="s">
        <v>1364</v>
      </c>
      <c r="G1639" s="369"/>
      <c r="H1639" s="369"/>
      <c r="I1639" s="355"/>
      <c r="J1639" s="76">
        <f>476.79+447.81</f>
        <v>924.6</v>
      </c>
    </row>
    <row r="1640" spans="1:10" ht="15" thickBot="1" x14ac:dyDescent="0.35">
      <c r="A1640" s="364" t="s">
        <v>64</v>
      </c>
      <c r="B1640" s="365"/>
      <c r="C1640" s="365"/>
      <c r="D1640" s="365"/>
      <c r="E1640" s="365"/>
      <c r="F1640" s="365"/>
      <c r="G1640" s="365"/>
      <c r="H1640" s="365"/>
      <c r="I1640" s="366"/>
      <c r="J1640" s="275">
        <f>SUM(J1639)</f>
        <v>924.6</v>
      </c>
    </row>
    <row r="1641" spans="1:10" x14ac:dyDescent="0.3">
      <c r="A1641" s="247" t="str">
        <f>ORÇAMENTO!A491</f>
        <v>23.18</v>
      </c>
      <c r="B1641" s="73" t="str">
        <f>ORÇAMENTO!B491</f>
        <v>GOINFRA</v>
      </c>
      <c r="C1641" s="74">
        <f>ORÇAMENTO!C491</f>
        <v>271852</v>
      </c>
      <c r="D1641" s="86" t="str">
        <f>ORÇAMENTO!D491</f>
        <v xml:space="preserve"> LETRA CAIXA INOX ESCOVADO COLOCADA </v>
      </c>
      <c r="E1641" s="74" t="str">
        <f>ORÇAMENTO!F491</f>
        <v xml:space="preserve">m </v>
      </c>
      <c r="F1641" s="377" t="s">
        <v>89</v>
      </c>
      <c r="G1641" s="378"/>
      <c r="H1641" s="371" t="s">
        <v>118</v>
      </c>
      <c r="I1641" s="373"/>
      <c r="J1641" s="76" t="s">
        <v>86</v>
      </c>
    </row>
    <row r="1642" spans="1:10" x14ac:dyDescent="0.3">
      <c r="A1642" s="247"/>
      <c r="B1642" s="73"/>
      <c r="C1642" s="74"/>
      <c r="D1642" s="86" t="s">
        <v>1358</v>
      </c>
      <c r="E1642" s="74"/>
      <c r="F1642" s="358">
        <v>28</v>
      </c>
      <c r="G1642" s="359"/>
      <c r="H1642" s="354">
        <v>0.3</v>
      </c>
      <c r="I1642" s="355"/>
      <c r="J1642" s="76">
        <f>H1642*F1642</f>
        <v>8.4</v>
      </c>
    </row>
    <row r="1643" spans="1:10" ht="15" thickBot="1" x14ac:dyDescent="0.35">
      <c r="A1643" s="364" t="s">
        <v>64</v>
      </c>
      <c r="B1643" s="365"/>
      <c r="C1643" s="365"/>
      <c r="D1643" s="365"/>
      <c r="E1643" s="365"/>
      <c r="F1643" s="365"/>
      <c r="G1643" s="365"/>
      <c r="H1643" s="365"/>
      <c r="I1643" s="366"/>
      <c r="J1643" s="275">
        <f>SUM(J1642)</f>
        <v>8.4</v>
      </c>
    </row>
    <row r="1644" spans="1:10" ht="15" thickBot="1" x14ac:dyDescent="0.35">
      <c r="A1644" s="415" t="str">
        <f>ORÇAMENTO!A493</f>
        <v>GRUPO DE SERVIÇO: 100002 - PAVIMENTAÇÃO</v>
      </c>
      <c r="B1644" s="416"/>
      <c r="C1644" s="416"/>
      <c r="D1644" s="416"/>
      <c r="E1644" s="416"/>
      <c r="F1644" s="416"/>
      <c r="G1644" s="416"/>
      <c r="H1644" s="416"/>
      <c r="I1644" s="416"/>
      <c r="J1644" s="417"/>
    </row>
    <row r="1645" spans="1:10" ht="28.8" x14ac:dyDescent="0.3">
      <c r="A1645" s="249">
        <f>ORÇAMENTO!A494</f>
        <v>24</v>
      </c>
      <c r="B1645" s="87" t="str">
        <f>ORÇAMENTO!B494</f>
        <v>AGETOP - 135</v>
      </c>
      <c r="C1645" s="81">
        <f>ORÇAMENTO!C494</f>
        <v>100002</v>
      </c>
      <c r="D1645" s="262" t="str">
        <f>ORÇAMENTO!D494</f>
        <v>PAVIMENTAÇÃO</v>
      </c>
      <c r="E1645" s="95"/>
      <c r="F1645" s="231"/>
      <c r="G1645" s="231"/>
      <c r="H1645" s="95"/>
      <c r="I1645" s="95"/>
      <c r="J1645" s="96"/>
    </row>
    <row r="1646" spans="1:10" ht="28.8" x14ac:dyDescent="0.3">
      <c r="A1646" s="247" t="str">
        <f>ORÇAMENTO!A495</f>
        <v>24.1</v>
      </c>
      <c r="B1646" s="73" t="str">
        <f>ORÇAMENTO!B495</f>
        <v>AGETOP - 135</v>
      </c>
      <c r="C1646" s="74">
        <f>ORÇAMENTO!C495</f>
        <v>40310</v>
      </c>
      <c r="D1646" s="75" t="str">
        <f>ORÇAMENTO!D495</f>
        <v xml:space="preserve">REGULARIZAÇÃO E COMPACTAÇÃO DO SUB-LEITO </v>
      </c>
      <c r="E1646" s="107" t="str">
        <f>ORÇAMENTO!F495</f>
        <v xml:space="preserve">m2 </v>
      </c>
      <c r="F1646" s="354" t="s">
        <v>104</v>
      </c>
      <c r="G1646" s="369"/>
      <c r="H1646" s="369"/>
      <c r="I1646" s="355"/>
      <c r="J1646" s="76" t="s">
        <v>86</v>
      </c>
    </row>
    <row r="1647" spans="1:10" x14ac:dyDescent="0.3">
      <c r="A1647" s="247"/>
      <c r="B1647" s="73"/>
      <c r="C1647" s="74"/>
      <c r="D1647" s="75" t="s">
        <v>1355</v>
      </c>
      <c r="E1647" s="107"/>
      <c r="F1647" s="354">
        <v>2346.9499999999998</v>
      </c>
      <c r="G1647" s="369"/>
      <c r="H1647" s="369"/>
      <c r="I1647" s="355"/>
      <c r="J1647" s="76">
        <f>F1647</f>
        <v>2346.9499999999998</v>
      </c>
    </row>
    <row r="1648" spans="1:10" x14ac:dyDescent="0.3">
      <c r="A1648" s="247"/>
      <c r="B1648" s="73"/>
      <c r="C1648" s="74"/>
      <c r="D1648" s="75" t="s">
        <v>1350</v>
      </c>
      <c r="E1648" s="107"/>
      <c r="F1648" s="354">
        <v>531.05999999999995</v>
      </c>
      <c r="G1648" s="369"/>
      <c r="H1648" s="369"/>
      <c r="I1648" s="355"/>
      <c r="J1648" s="76">
        <f>F1648</f>
        <v>531.05999999999995</v>
      </c>
    </row>
    <row r="1649" spans="1:10" ht="15" thickBot="1" x14ac:dyDescent="0.35">
      <c r="A1649" s="364" t="s">
        <v>64</v>
      </c>
      <c r="B1649" s="365"/>
      <c r="C1649" s="365"/>
      <c r="D1649" s="365"/>
      <c r="E1649" s="365"/>
      <c r="F1649" s="365"/>
      <c r="G1649" s="365"/>
      <c r="H1649" s="365"/>
      <c r="I1649" s="366"/>
      <c r="J1649" s="76">
        <f>SUM(J1647:J1648)</f>
        <v>2878.0099999999998</v>
      </c>
    </row>
    <row r="1650" spans="1:10" ht="28.8" x14ac:dyDescent="0.3">
      <c r="A1650" s="247" t="str">
        <f>ORÇAMENTO!A496</f>
        <v>24.2</v>
      </c>
      <c r="B1650" s="73" t="str">
        <f>ORÇAMENTO!B496</f>
        <v>AGETOP - 135</v>
      </c>
      <c r="C1650" s="74">
        <f>ORÇAMENTO!C496</f>
        <v>40316</v>
      </c>
      <c r="D1650" s="75" t="str">
        <f>ORÇAMENTO!D496</f>
        <v xml:space="preserve">ESCAVAÇÃO E CARGA MAT. DE JAZIDA-COM INDENIZAÇÃO </v>
      </c>
      <c r="E1650" s="107" t="str">
        <f>ORÇAMENTO!F496</f>
        <v xml:space="preserve">m3 </v>
      </c>
      <c r="F1650" s="377" t="s">
        <v>104</v>
      </c>
      <c r="G1650" s="378"/>
      <c r="H1650" s="371" t="s">
        <v>954</v>
      </c>
      <c r="I1650" s="373"/>
      <c r="J1650" s="76" t="s">
        <v>86</v>
      </c>
    </row>
    <row r="1651" spans="1:10" x14ac:dyDescent="0.3">
      <c r="A1651" s="247"/>
      <c r="B1651" s="73"/>
      <c r="C1651" s="74"/>
      <c r="D1651" s="75" t="s">
        <v>1355</v>
      </c>
      <c r="E1651" s="107"/>
      <c r="F1651" s="358">
        <v>2346.9499999999998</v>
      </c>
      <c r="G1651" s="359"/>
      <c r="H1651" s="354">
        <v>0.2</v>
      </c>
      <c r="I1651" s="355"/>
      <c r="J1651" s="76">
        <f>H1651*F1651</f>
        <v>469.39</v>
      </c>
    </row>
    <row r="1652" spans="1:10" x14ac:dyDescent="0.3">
      <c r="A1652" s="247"/>
      <c r="B1652" s="73"/>
      <c r="C1652" s="74"/>
      <c r="D1652" s="75" t="s">
        <v>1350</v>
      </c>
      <c r="E1652" s="107"/>
      <c r="F1652" s="358">
        <v>531.05999999999995</v>
      </c>
      <c r="G1652" s="359"/>
      <c r="H1652" s="354">
        <v>0.2</v>
      </c>
      <c r="I1652" s="355"/>
      <c r="J1652" s="76">
        <f>H1652*F1652</f>
        <v>106.21199999999999</v>
      </c>
    </row>
    <row r="1653" spans="1:10" ht="15" thickBot="1" x14ac:dyDescent="0.35">
      <c r="A1653" s="364" t="s">
        <v>64</v>
      </c>
      <c r="B1653" s="365"/>
      <c r="C1653" s="365"/>
      <c r="D1653" s="365"/>
      <c r="E1653" s="365"/>
      <c r="F1653" s="365"/>
      <c r="G1653" s="365"/>
      <c r="H1653" s="365"/>
      <c r="I1653" s="366"/>
      <c r="J1653" s="76">
        <f>SUM(J1651:J1652)</f>
        <v>575.60199999999998</v>
      </c>
    </row>
    <row r="1654" spans="1:10" ht="28.8" x14ac:dyDescent="0.3">
      <c r="A1654" s="247" t="str">
        <f>ORÇAMENTO!A497</f>
        <v>24.3</v>
      </c>
      <c r="B1654" s="73" t="str">
        <f>ORÇAMENTO!B497</f>
        <v>AGETOP - 135</v>
      </c>
      <c r="C1654" s="74">
        <f>ORÇAMENTO!C497</f>
        <v>40320</v>
      </c>
      <c r="D1654" s="75" t="str">
        <f>ORÇAMENTO!D497</f>
        <v>TRANSPORTE DE MATERIAL DE JAZIDA (CASCALHO)</v>
      </c>
      <c r="E1654" s="107" t="str">
        <f>ORÇAMENTO!F497</f>
        <v xml:space="preserve"> m3km </v>
      </c>
      <c r="F1654" s="371" t="s">
        <v>1352</v>
      </c>
      <c r="G1654" s="372"/>
      <c r="H1654" s="372"/>
      <c r="I1654" s="373"/>
      <c r="J1654" s="76" t="s">
        <v>86</v>
      </c>
    </row>
    <row r="1655" spans="1:10" x14ac:dyDescent="0.3">
      <c r="A1655" s="247"/>
      <c r="B1655" s="73"/>
      <c r="C1655" s="74"/>
      <c r="D1655" s="75" t="s">
        <v>1351</v>
      </c>
      <c r="E1655" s="107"/>
      <c r="F1655" s="354">
        <f>J1653*30</f>
        <v>17268.059999999998</v>
      </c>
      <c r="G1655" s="369"/>
      <c r="H1655" s="369"/>
      <c r="I1655" s="355"/>
      <c r="J1655" s="454">
        <f>F1655*F1656</f>
        <v>22448.477999999999</v>
      </c>
    </row>
    <row r="1656" spans="1:10" x14ac:dyDescent="0.3">
      <c r="A1656" s="247"/>
      <c r="B1656" s="73"/>
      <c r="C1656" s="74"/>
      <c r="D1656" s="75" t="s">
        <v>1475</v>
      </c>
      <c r="E1656" s="107"/>
      <c r="F1656" s="354">
        <v>1.3</v>
      </c>
      <c r="G1656" s="369"/>
      <c r="H1656" s="369"/>
      <c r="I1656" s="355"/>
      <c r="J1656" s="455"/>
    </row>
    <row r="1657" spans="1:10" ht="15" thickBot="1" x14ac:dyDescent="0.35">
      <c r="A1657" s="364" t="s">
        <v>64</v>
      </c>
      <c r="B1657" s="365"/>
      <c r="C1657" s="365"/>
      <c r="D1657" s="365"/>
      <c r="E1657" s="365"/>
      <c r="F1657" s="365"/>
      <c r="G1657" s="365"/>
      <c r="H1657" s="365"/>
      <c r="I1657" s="366"/>
      <c r="J1657" s="76">
        <f>SUM(J1655)</f>
        <v>22448.477999999999</v>
      </c>
    </row>
    <row r="1658" spans="1:10" ht="28.8" x14ac:dyDescent="0.3">
      <c r="A1658" s="247" t="str">
        <f>ORÇAMENTO!A498</f>
        <v>24.4</v>
      </c>
      <c r="B1658" s="73" t="str">
        <f>ORÇAMENTO!B498</f>
        <v>AGETOP - 135</v>
      </c>
      <c r="C1658" s="74">
        <f>ORÇAMENTO!C498</f>
        <v>40380</v>
      </c>
      <c r="D1658" s="75" t="str">
        <f>ORÇAMENTO!D498</f>
        <v xml:space="preserve">IMPRIMAÇÃO </v>
      </c>
      <c r="E1658" s="107" t="str">
        <f>ORÇAMENTO!F498</f>
        <v>m2</v>
      </c>
      <c r="F1658" s="371" t="s">
        <v>104</v>
      </c>
      <c r="G1658" s="372"/>
      <c r="H1658" s="372"/>
      <c r="I1658" s="373"/>
      <c r="J1658" s="76" t="s">
        <v>86</v>
      </c>
    </row>
    <row r="1659" spans="1:10" x14ac:dyDescent="0.3">
      <c r="A1659" s="247"/>
      <c r="B1659" s="73"/>
      <c r="C1659" s="74"/>
      <c r="D1659" s="75" t="s">
        <v>1355</v>
      </c>
      <c r="E1659" s="107"/>
      <c r="F1659" s="354">
        <v>2346.9499999999998</v>
      </c>
      <c r="G1659" s="369"/>
      <c r="H1659" s="369"/>
      <c r="I1659" s="355"/>
      <c r="J1659" s="76">
        <f>F1659</f>
        <v>2346.9499999999998</v>
      </c>
    </row>
    <row r="1660" spans="1:10" x14ac:dyDescent="0.3">
      <c r="A1660" s="247"/>
      <c r="B1660" s="73"/>
      <c r="C1660" s="74"/>
      <c r="D1660" s="75" t="s">
        <v>1350</v>
      </c>
      <c r="E1660" s="107"/>
      <c r="F1660" s="354">
        <v>531.05999999999995</v>
      </c>
      <c r="G1660" s="369"/>
      <c r="H1660" s="369"/>
      <c r="I1660" s="355"/>
      <c r="J1660" s="76">
        <f>F1660</f>
        <v>531.05999999999995</v>
      </c>
    </row>
    <row r="1661" spans="1:10" ht="15" thickBot="1" x14ac:dyDescent="0.35">
      <c r="A1661" s="364" t="s">
        <v>64</v>
      </c>
      <c r="B1661" s="365"/>
      <c r="C1661" s="365"/>
      <c r="D1661" s="365"/>
      <c r="E1661" s="365"/>
      <c r="F1661" s="365"/>
      <c r="G1661" s="365"/>
      <c r="H1661" s="365"/>
      <c r="I1661" s="366"/>
      <c r="J1661" s="76">
        <f>SUM(J1659:J1660)</f>
        <v>2878.0099999999998</v>
      </c>
    </row>
    <row r="1662" spans="1:10" ht="28.8" x14ac:dyDescent="0.3">
      <c r="A1662" s="247" t="str">
        <f>ORÇAMENTO!A499</f>
        <v>24.5</v>
      </c>
      <c r="B1662" s="73" t="str">
        <f>ORÇAMENTO!B499</f>
        <v>ANP - Jan.2020</v>
      </c>
      <c r="C1662" s="74">
        <f>ORÇAMENTO!C499</f>
        <v>0</v>
      </c>
      <c r="D1662" s="75" t="str">
        <f>ORÇAMENTO!D499</f>
        <v xml:space="preserve">FORNECIMENTO DE CM-30 </v>
      </c>
      <c r="E1662" s="107" t="str">
        <f>ORÇAMENTO!F499</f>
        <v>t</v>
      </c>
      <c r="F1662" s="377" t="s">
        <v>104</v>
      </c>
      <c r="G1662" s="378"/>
      <c r="H1662" s="371" t="s">
        <v>1361</v>
      </c>
      <c r="I1662" s="373"/>
      <c r="J1662" s="76" t="s">
        <v>86</v>
      </c>
    </row>
    <row r="1663" spans="1:10" x14ac:dyDescent="0.3">
      <c r="A1663" s="247"/>
      <c r="B1663" s="73"/>
      <c r="C1663" s="74"/>
      <c r="D1663" s="75" t="s">
        <v>1355</v>
      </c>
      <c r="E1663" s="107"/>
      <c r="F1663" s="358">
        <v>2346.9499999999998</v>
      </c>
      <c r="G1663" s="359"/>
      <c r="H1663" s="456">
        <v>1.1999999999999999E-3</v>
      </c>
      <c r="I1663" s="457"/>
      <c r="J1663" s="76">
        <f>F1663*H1663</f>
        <v>2.8163399999999994</v>
      </c>
    </row>
    <row r="1664" spans="1:10" x14ac:dyDescent="0.3">
      <c r="A1664" s="247"/>
      <c r="B1664" s="73"/>
      <c r="C1664" s="74"/>
      <c r="D1664" s="75" t="s">
        <v>1350</v>
      </c>
      <c r="E1664" s="107"/>
      <c r="F1664" s="358">
        <v>531.05999999999995</v>
      </c>
      <c r="G1664" s="359"/>
      <c r="H1664" s="456">
        <v>1.1999999999999999E-3</v>
      </c>
      <c r="I1664" s="457"/>
      <c r="J1664" s="76">
        <f>F1664*H1664</f>
        <v>0.63727199999999984</v>
      </c>
    </row>
    <row r="1665" spans="1:10" ht="15" thickBot="1" x14ac:dyDescent="0.35">
      <c r="A1665" s="364" t="s">
        <v>64</v>
      </c>
      <c r="B1665" s="365"/>
      <c r="C1665" s="365"/>
      <c r="D1665" s="365"/>
      <c r="E1665" s="365"/>
      <c r="F1665" s="365"/>
      <c r="G1665" s="365"/>
      <c r="H1665" s="365"/>
      <c r="I1665" s="366"/>
      <c r="J1665" s="76">
        <f>SUM(J1663:J1664)</f>
        <v>3.4536119999999992</v>
      </c>
    </row>
    <row r="1666" spans="1:10" x14ac:dyDescent="0.3">
      <c r="A1666" s="247" t="str">
        <f>ORÇAMENTO!A500</f>
        <v>24.6</v>
      </c>
      <c r="B1666" s="74" t="str">
        <f>ORÇAMENTO!B500</f>
        <v>ANP - Nov.2019</v>
      </c>
      <c r="C1666" s="74">
        <f>ORÇAMENTO!C500</f>
        <v>0</v>
      </c>
      <c r="D1666" s="75" t="str">
        <f>ORÇAMENTO!D500</f>
        <v xml:space="preserve">FORNECIMENTO DE EMULSÃO RR-2C </v>
      </c>
      <c r="E1666" s="107" t="str">
        <f>ORÇAMENTO!F500</f>
        <v>t</v>
      </c>
      <c r="F1666" s="377" t="s">
        <v>104</v>
      </c>
      <c r="G1666" s="378"/>
      <c r="H1666" s="371" t="s">
        <v>1361</v>
      </c>
      <c r="I1666" s="373"/>
      <c r="J1666" s="76" t="s">
        <v>86</v>
      </c>
    </row>
    <row r="1667" spans="1:10" x14ac:dyDescent="0.3">
      <c r="A1667" s="247"/>
      <c r="B1667" s="73"/>
      <c r="C1667" s="74"/>
      <c r="D1667" s="75" t="s">
        <v>1355</v>
      </c>
      <c r="E1667" s="107"/>
      <c r="F1667" s="358">
        <v>2346.9499999999998</v>
      </c>
      <c r="G1667" s="359"/>
      <c r="H1667" s="456">
        <v>2E-3</v>
      </c>
      <c r="I1667" s="457"/>
      <c r="J1667" s="76">
        <f>F1667*H1667</f>
        <v>4.6938999999999993</v>
      </c>
    </row>
    <row r="1668" spans="1:10" x14ac:dyDescent="0.3">
      <c r="A1668" s="247"/>
      <c r="B1668" s="73"/>
      <c r="C1668" s="74"/>
      <c r="D1668" s="75" t="s">
        <v>1350</v>
      </c>
      <c r="E1668" s="107"/>
      <c r="F1668" s="358">
        <v>531.05999999999995</v>
      </c>
      <c r="G1668" s="359"/>
      <c r="H1668" s="456">
        <v>2E-3</v>
      </c>
      <c r="I1668" s="457"/>
      <c r="J1668" s="76">
        <f>F1668*H1668</f>
        <v>1.06212</v>
      </c>
    </row>
    <row r="1669" spans="1:10" ht="15" thickBot="1" x14ac:dyDescent="0.35">
      <c r="A1669" s="364" t="s">
        <v>64</v>
      </c>
      <c r="B1669" s="365"/>
      <c r="C1669" s="365"/>
      <c r="D1669" s="365"/>
      <c r="E1669" s="365"/>
      <c r="F1669" s="365"/>
      <c r="G1669" s="365"/>
      <c r="H1669" s="365"/>
      <c r="I1669" s="366"/>
      <c r="J1669" s="76">
        <f>SUM(J1667:J1668)</f>
        <v>5.7560199999999995</v>
      </c>
    </row>
    <row r="1670" spans="1:10" ht="28.8" x14ac:dyDescent="0.3">
      <c r="A1670" s="247" t="str">
        <f>ORÇAMENTO!A501</f>
        <v>24.7</v>
      </c>
      <c r="B1670" s="73" t="str">
        <f>ORÇAMENTO!B501</f>
        <v>AGETOP - 135</v>
      </c>
      <c r="C1670" s="74">
        <f>ORÇAMENTO!C501</f>
        <v>40435</v>
      </c>
      <c r="D1670" s="75" t="str">
        <f>ORÇAMENTO!D501</f>
        <v xml:space="preserve">TRANSPORTE LOCAL DE MATERIAL BETUMINOSO </v>
      </c>
      <c r="E1670" s="107" t="str">
        <f>ORÇAMENTO!F501</f>
        <v>tkm</v>
      </c>
      <c r="F1670" s="371" t="s">
        <v>530</v>
      </c>
      <c r="G1670" s="372"/>
      <c r="H1670" s="372"/>
      <c r="I1670" s="373"/>
      <c r="J1670" s="76" t="s">
        <v>86</v>
      </c>
    </row>
    <row r="1671" spans="1:10" x14ac:dyDescent="0.3">
      <c r="A1671" s="247"/>
      <c r="B1671" s="73"/>
      <c r="C1671" s="74"/>
      <c r="D1671" s="75" t="str">
        <f>D1662</f>
        <v xml:space="preserve">FORNECIMENTO DE CM-30 </v>
      </c>
      <c r="E1671" s="107"/>
      <c r="F1671" s="354">
        <f>J1665</f>
        <v>3.4536119999999992</v>
      </c>
      <c r="G1671" s="369"/>
      <c r="H1671" s="369"/>
      <c r="I1671" s="355"/>
      <c r="J1671" s="76">
        <f>F1671</f>
        <v>3.4536119999999992</v>
      </c>
    </row>
    <row r="1672" spans="1:10" x14ac:dyDescent="0.3">
      <c r="A1672" s="247"/>
      <c r="B1672" s="73"/>
      <c r="C1672" s="74"/>
      <c r="D1672" s="75" t="str">
        <f>D1666</f>
        <v xml:space="preserve">FORNECIMENTO DE EMULSÃO RR-2C </v>
      </c>
      <c r="E1672" s="107"/>
      <c r="F1672" s="354">
        <f>J1669</f>
        <v>5.7560199999999995</v>
      </c>
      <c r="G1672" s="369"/>
      <c r="H1672" s="369"/>
      <c r="I1672" s="355"/>
      <c r="J1672" s="76">
        <f>F1672</f>
        <v>5.7560199999999995</v>
      </c>
    </row>
    <row r="1673" spans="1:10" x14ac:dyDescent="0.3">
      <c r="A1673" s="247"/>
      <c r="B1673" s="73"/>
      <c r="C1673" s="74"/>
      <c r="D1673" s="75" t="s">
        <v>1357</v>
      </c>
      <c r="E1673" s="107"/>
      <c r="F1673" s="354">
        <v>260</v>
      </c>
      <c r="G1673" s="369"/>
      <c r="H1673" s="369"/>
      <c r="I1673" s="355"/>
      <c r="J1673" s="76">
        <f>F1673</f>
        <v>260</v>
      </c>
    </row>
    <row r="1674" spans="1:10" ht="15" thickBot="1" x14ac:dyDescent="0.35">
      <c r="A1674" s="364" t="s">
        <v>64</v>
      </c>
      <c r="B1674" s="365"/>
      <c r="C1674" s="365"/>
      <c r="D1674" s="365"/>
      <c r="E1674" s="365"/>
      <c r="F1674" s="365"/>
      <c r="G1674" s="365"/>
      <c r="H1674" s="365"/>
      <c r="I1674" s="366"/>
      <c r="J1674" s="76">
        <f>J1673*(J1672+J1671)</f>
        <v>2394.50432</v>
      </c>
    </row>
    <row r="1675" spans="1:10" customFormat="1" ht="28.8" x14ac:dyDescent="0.3">
      <c r="A1675" s="247" t="str">
        <f>ORÇAMENTO!A502</f>
        <v>24.8</v>
      </c>
      <c r="B1675" s="73" t="str">
        <f>ORÇAMENTO!B502</f>
        <v>AGETOP - 135</v>
      </c>
      <c r="C1675" s="74">
        <f>ORÇAMENTO!C502</f>
        <v>40609</v>
      </c>
      <c r="D1675" s="75" t="str">
        <f>ORÇAMENTO!D502</f>
        <v xml:space="preserve">TRATAMENTO SUPERFICIAL DUPLO - TSD (BC) </v>
      </c>
      <c r="E1675" s="107" t="str">
        <f>ORÇAMENTO!F502</f>
        <v>m2</v>
      </c>
      <c r="F1675" s="354" t="s">
        <v>104</v>
      </c>
      <c r="G1675" s="369"/>
      <c r="H1675" s="369"/>
      <c r="I1675" s="355"/>
      <c r="J1675" s="76" t="s">
        <v>86</v>
      </c>
    </row>
    <row r="1676" spans="1:10" customFormat="1" x14ac:dyDescent="0.3">
      <c r="A1676" s="247"/>
      <c r="B1676" s="73"/>
      <c r="C1676" s="74"/>
      <c r="D1676" s="75" t="s">
        <v>1355</v>
      </c>
      <c r="E1676" s="107"/>
      <c r="F1676" s="354">
        <v>2346.9499999999998</v>
      </c>
      <c r="G1676" s="369"/>
      <c r="H1676" s="369"/>
      <c r="I1676" s="355"/>
      <c r="J1676" s="76">
        <f>F1676</f>
        <v>2346.9499999999998</v>
      </c>
    </row>
    <row r="1677" spans="1:10" customFormat="1" x14ac:dyDescent="0.3">
      <c r="A1677" s="247"/>
      <c r="B1677" s="73"/>
      <c r="C1677" s="74"/>
      <c r="D1677" s="75" t="s">
        <v>1350</v>
      </c>
      <c r="E1677" s="107"/>
      <c r="F1677" s="354">
        <v>531.05999999999995</v>
      </c>
      <c r="G1677" s="369"/>
      <c r="H1677" s="369"/>
      <c r="I1677" s="355"/>
      <c r="J1677" s="76">
        <f>F1677</f>
        <v>531.05999999999995</v>
      </c>
    </row>
    <row r="1678" spans="1:10" customFormat="1" ht="15" thickBot="1" x14ac:dyDescent="0.35">
      <c r="A1678" s="364" t="s">
        <v>64</v>
      </c>
      <c r="B1678" s="365"/>
      <c r="C1678" s="365"/>
      <c r="D1678" s="365"/>
      <c r="E1678" s="365"/>
      <c r="F1678" s="365"/>
      <c r="G1678" s="365"/>
      <c r="H1678" s="365"/>
      <c r="I1678" s="366"/>
      <c r="J1678" s="124">
        <f>SUM(J1676:J1677)</f>
        <v>2878.0099999999998</v>
      </c>
    </row>
    <row r="1679" spans="1:10" customFormat="1" x14ac:dyDescent="0.3"/>
    <row r="1680" spans="1:10" customFormat="1" x14ac:dyDescent="0.3"/>
    <row r="1681" spans="1:10" customFormat="1" x14ac:dyDescent="0.3"/>
    <row r="1682" spans="1:10" customFormat="1" x14ac:dyDescent="0.3"/>
    <row r="1683" spans="1:10" customFormat="1" x14ac:dyDescent="0.3"/>
    <row r="1684" spans="1:10" customFormat="1" x14ac:dyDescent="0.3"/>
    <row r="1685" spans="1:10" customFormat="1" x14ac:dyDescent="0.3"/>
    <row r="1686" spans="1:10" customFormat="1" x14ac:dyDescent="0.3"/>
    <row r="1687" spans="1:10" customFormat="1" x14ac:dyDescent="0.3"/>
    <row r="1688" spans="1:10" customFormat="1" x14ac:dyDescent="0.3"/>
    <row r="1689" spans="1:10" customFormat="1" x14ac:dyDescent="0.3"/>
    <row r="1690" spans="1:10" customFormat="1" x14ac:dyDescent="0.3"/>
    <row r="1691" spans="1:10" x14ac:dyDescent="0.3">
      <c r="A1691"/>
      <c r="B1691"/>
      <c r="C1691"/>
      <c r="D1691"/>
      <c r="E1691"/>
      <c r="F1691"/>
      <c r="G1691"/>
      <c r="H1691"/>
      <c r="I1691"/>
      <c r="J1691"/>
    </row>
    <row r="1692" spans="1:10" x14ac:dyDescent="0.3">
      <c r="A1692"/>
      <c r="B1692"/>
      <c r="C1692"/>
      <c r="D1692"/>
      <c r="E1692"/>
      <c r="F1692"/>
      <c r="G1692"/>
      <c r="H1692"/>
      <c r="I1692"/>
      <c r="J1692"/>
    </row>
    <row r="1693" spans="1:10" x14ac:dyDescent="0.3">
      <c r="A1693"/>
      <c r="B1693"/>
      <c r="C1693"/>
      <c r="D1693"/>
      <c r="E1693"/>
      <c r="F1693"/>
      <c r="G1693"/>
      <c r="H1693"/>
      <c r="I1693"/>
      <c r="J1693"/>
    </row>
    <row r="1694" spans="1:10" x14ac:dyDescent="0.3">
      <c r="A1694"/>
      <c r="B1694"/>
      <c r="C1694"/>
      <c r="D1694"/>
      <c r="E1694"/>
      <c r="F1694"/>
      <c r="G1694"/>
      <c r="H1694"/>
      <c r="I1694"/>
      <c r="J1694"/>
    </row>
  </sheetData>
  <sheetProtection selectLockedCells="1"/>
  <mergeCells count="2134">
    <mergeCell ref="F1217:I1217"/>
    <mergeCell ref="A1361:J1361"/>
    <mergeCell ref="A1315:J1315"/>
    <mergeCell ref="A1131:J1131"/>
    <mergeCell ref="A898:J898"/>
    <mergeCell ref="A785:J785"/>
    <mergeCell ref="A722:J722"/>
    <mergeCell ref="A686:J686"/>
    <mergeCell ref="A670:J670"/>
    <mergeCell ref="A665:J665"/>
    <mergeCell ref="A625:J625"/>
    <mergeCell ref="A577:J577"/>
    <mergeCell ref="A557:J557"/>
    <mergeCell ref="A361:J361"/>
    <mergeCell ref="A58:J58"/>
    <mergeCell ref="A49:J49"/>
    <mergeCell ref="A1538:J1538"/>
    <mergeCell ref="F385:J385"/>
    <mergeCell ref="F386:J386"/>
    <mergeCell ref="F263:I263"/>
    <mergeCell ref="F264:I264"/>
    <mergeCell ref="F265:I265"/>
    <mergeCell ref="F266:I266"/>
    <mergeCell ref="F267:I267"/>
    <mergeCell ref="B683:C683"/>
    <mergeCell ref="F704:I704"/>
    <mergeCell ref="F705:I705"/>
    <mergeCell ref="F712:I712"/>
    <mergeCell ref="A1057:J1057"/>
    <mergeCell ref="A912:J912"/>
    <mergeCell ref="F1213:I1213"/>
    <mergeCell ref="F246:I246"/>
    <mergeCell ref="F257:I257"/>
    <mergeCell ref="F258:I258"/>
    <mergeCell ref="F259:I259"/>
    <mergeCell ref="F260:I260"/>
    <mergeCell ref="F261:I261"/>
    <mergeCell ref="F262:I262"/>
    <mergeCell ref="F229:I229"/>
    <mergeCell ref="F230:I230"/>
    <mergeCell ref="F231:I231"/>
    <mergeCell ref="F232:I232"/>
    <mergeCell ref="F233:I233"/>
    <mergeCell ref="F234:I234"/>
    <mergeCell ref="F235:I235"/>
    <mergeCell ref="F236:I236"/>
    <mergeCell ref="F237:I237"/>
    <mergeCell ref="F238:I238"/>
    <mergeCell ref="F239:I239"/>
    <mergeCell ref="F240:I240"/>
    <mergeCell ref="F241:I241"/>
    <mergeCell ref="F242:I242"/>
    <mergeCell ref="F243:I243"/>
    <mergeCell ref="F244:I244"/>
    <mergeCell ref="F221:I221"/>
    <mergeCell ref="F222:I222"/>
    <mergeCell ref="F223:I223"/>
    <mergeCell ref="F224:I224"/>
    <mergeCell ref="F225:I225"/>
    <mergeCell ref="F226:I226"/>
    <mergeCell ref="F227:I227"/>
    <mergeCell ref="F247:I247"/>
    <mergeCell ref="F248:I248"/>
    <mergeCell ref="F249:I249"/>
    <mergeCell ref="F250:I250"/>
    <mergeCell ref="F251:I251"/>
    <mergeCell ref="F252:I252"/>
    <mergeCell ref="F253:I253"/>
    <mergeCell ref="F254:I254"/>
    <mergeCell ref="F255:I255"/>
    <mergeCell ref="F256:I256"/>
    <mergeCell ref="F1526:G1526"/>
    <mergeCell ref="H1526:I1526"/>
    <mergeCell ref="F1527:G1527"/>
    <mergeCell ref="H1527:I1527"/>
    <mergeCell ref="F1528:G1528"/>
    <mergeCell ref="H1528:I1528"/>
    <mergeCell ref="F1529:G1529"/>
    <mergeCell ref="H1529:I1529"/>
    <mergeCell ref="F245:I245"/>
    <mergeCell ref="F80:H80"/>
    <mergeCell ref="A109:I109"/>
    <mergeCell ref="F117:I117"/>
    <mergeCell ref="F118:I118"/>
    <mergeCell ref="F1127:I1127"/>
    <mergeCell ref="F1128:I1128"/>
    <mergeCell ref="F1129:I1129"/>
    <mergeCell ref="F204:I204"/>
    <mergeCell ref="F205:I205"/>
    <mergeCell ref="F206:I206"/>
    <mergeCell ref="F207:I207"/>
    <mergeCell ref="F208:I208"/>
    <mergeCell ref="F209:I209"/>
    <mergeCell ref="F210:I210"/>
    <mergeCell ref="F211:I211"/>
    <mergeCell ref="F212:I212"/>
    <mergeCell ref="F213:I213"/>
    <mergeCell ref="F214:I214"/>
    <mergeCell ref="F215:I215"/>
    <mergeCell ref="F216:I216"/>
    <mergeCell ref="F217:I217"/>
    <mergeCell ref="F218:I218"/>
    <mergeCell ref="F219:I219"/>
    <mergeCell ref="H1035:I1035"/>
    <mergeCell ref="H1034:I1034"/>
    <mergeCell ref="H1037:I1037"/>
    <mergeCell ref="H1040:I1040"/>
    <mergeCell ref="H1043:I1043"/>
    <mergeCell ref="H1048:I1048"/>
    <mergeCell ref="H1051:I1051"/>
    <mergeCell ref="H1054:I1054"/>
    <mergeCell ref="F228:I228"/>
    <mergeCell ref="F660:I660"/>
    <mergeCell ref="A1537:I1537"/>
    <mergeCell ref="F1504:G1504"/>
    <mergeCell ref="H1504:I1504"/>
    <mergeCell ref="F1505:G1505"/>
    <mergeCell ref="H1505:I1505"/>
    <mergeCell ref="F1506:G1506"/>
    <mergeCell ref="H1506:I1506"/>
    <mergeCell ref="F1534:G1534"/>
    <mergeCell ref="H1534:I1534"/>
    <mergeCell ref="F1535:G1535"/>
    <mergeCell ref="H1535:I1535"/>
    <mergeCell ref="F1536:G1536"/>
    <mergeCell ref="H1536:I1536"/>
    <mergeCell ref="H1525:I1525"/>
    <mergeCell ref="H1016:I1016"/>
    <mergeCell ref="H1017:I1017"/>
    <mergeCell ref="H1018:I1018"/>
    <mergeCell ref="H1019:I1019"/>
    <mergeCell ref="H1020:I1020"/>
    <mergeCell ref="H1021:I1021"/>
    <mergeCell ref="H1022:I1022"/>
    <mergeCell ref="H1023:I1023"/>
    <mergeCell ref="F1530:G1530"/>
    <mergeCell ref="H1530:I1530"/>
    <mergeCell ref="F1531:G1531"/>
    <mergeCell ref="H1531:I1531"/>
    <mergeCell ref="F1532:G1532"/>
    <mergeCell ref="H1532:I1532"/>
    <mergeCell ref="F1533:G1533"/>
    <mergeCell ref="H1533:I1533"/>
    <mergeCell ref="H1024:I1024"/>
    <mergeCell ref="H1025:I1025"/>
    <mergeCell ref="H1026:I1026"/>
    <mergeCell ref="H1027:I1027"/>
    <mergeCell ref="H1028:I1028"/>
    <mergeCell ref="H1029:I1029"/>
    <mergeCell ref="H1030:I1030"/>
    <mergeCell ref="H1031:I1031"/>
    <mergeCell ref="H1032:I1032"/>
    <mergeCell ref="H1033:I1033"/>
    <mergeCell ref="H1055:I1055"/>
    <mergeCell ref="H1052:I1052"/>
    <mergeCell ref="H1049:I1049"/>
    <mergeCell ref="H1044:I1044"/>
    <mergeCell ref="H1041:I1041"/>
    <mergeCell ref="H1038:I1038"/>
    <mergeCell ref="F1676:I1676"/>
    <mergeCell ref="F1677:I1677"/>
    <mergeCell ref="F1671:I1671"/>
    <mergeCell ref="F1672:I1672"/>
    <mergeCell ref="F1673:I1673"/>
    <mergeCell ref="F1656:I1656"/>
    <mergeCell ref="F1658:I1658"/>
    <mergeCell ref="F1659:I1659"/>
    <mergeCell ref="F1660:I1660"/>
    <mergeCell ref="F1662:G1662"/>
    <mergeCell ref="F1663:G1663"/>
    <mergeCell ref="F1664:G1664"/>
    <mergeCell ref="F1666:G1666"/>
    <mergeCell ref="F1667:G1667"/>
    <mergeCell ref="F1668:G1668"/>
    <mergeCell ref="H1662:I1662"/>
    <mergeCell ref="H1666:I1666"/>
    <mergeCell ref="H1663:I1663"/>
    <mergeCell ref="H1664:I1664"/>
    <mergeCell ref="H1667:I1667"/>
    <mergeCell ref="H1668:I1668"/>
    <mergeCell ref="F1675:I1675"/>
    <mergeCell ref="A1665:I1665"/>
    <mergeCell ref="A1657:I1657"/>
    <mergeCell ref="A1661:I1661"/>
    <mergeCell ref="F1639:I1639"/>
    <mergeCell ref="H1641:I1641"/>
    <mergeCell ref="H1642:I1642"/>
    <mergeCell ref="F1641:G1641"/>
    <mergeCell ref="F1642:G1642"/>
    <mergeCell ref="F1646:I1646"/>
    <mergeCell ref="F1647:I1647"/>
    <mergeCell ref="F1648:I1648"/>
    <mergeCell ref="F1650:G1650"/>
    <mergeCell ref="F1651:G1651"/>
    <mergeCell ref="F1652:G1652"/>
    <mergeCell ref="A1653:I1653"/>
    <mergeCell ref="H1650:I1650"/>
    <mergeCell ref="H1651:I1651"/>
    <mergeCell ref="H1652:I1652"/>
    <mergeCell ref="F1654:I1654"/>
    <mergeCell ref="F1655:I1655"/>
    <mergeCell ref="A1644:J1644"/>
    <mergeCell ref="J1655:J1656"/>
    <mergeCell ref="F1625:G1625"/>
    <mergeCell ref="F1626:G1626"/>
    <mergeCell ref="F1627:G1627"/>
    <mergeCell ref="F1628:G1628"/>
    <mergeCell ref="F1629:G1629"/>
    <mergeCell ref="F1630:G1630"/>
    <mergeCell ref="H1624:I1624"/>
    <mergeCell ref="H1625:I1625"/>
    <mergeCell ref="H1626:I1626"/>
    <mergeCell ref="H1627:I1627"/>
    <mergeCell ref="H1628:I1628"/>
    <mergeCell ref="H1629:I1629"/>
    <mergeCell ref="H1630:I1630"/>
    <mergeCell ref="F1635:I1635"/>
    <mergeCell ref="F1636:I1636"/>
    <mergeCell ref="F1638:I1638"/>
    <mergeCell ref="F1632:I1632"/>
    <mergeCell ref="F1633:I1633"/>
    <mergeCell ref="A1634:I1634"/>
    <mergeCell ref="F1512:G1512"/>
    <mergeCell ref="H1512:I1512"/>
    <mergeCell ref="F1516:I1516"/>
    <mergeCell ref="F1517:I1517"/>
    <mergeCell ref="F1518:I1518"/>
    <mergeCell ref="F1520:G1520"/>
    <mergeCell ref="F1521:G1521"/>
    <mergeCell ref="H1521:I1521"/>
    <mergeCell ref="H1520:I1520"/>
    <mergeCell ref="F1540:G1540"/>
    <mergeCell ref="F1541:G1541"/>
    <mergeCell ref="H1540:I1540"/>
    <mergeCell ref="H1541:I1541"/>
    <mergeCell ref="F1546:I1546"/>
    <mergeCell ref="F1547:I1547"/>
    <mergeCell ref="F1548:I1548"/>
    <mergeCell ref="F1550:I1550"/>
    <mergeCell ref="A1545:I1545"/>
    <mergeCell ref="F1544:I1544"/>
    <mergeCell ref="F1543:I1543"/>
    <mergeCell ref="A1522:I1522"/>
    <mergeCell ref="A1519:I1519"/>
    <mergeCell ref="F1514:G1514"/>
    <mergeCell ref="H1514:I1514"/>
    <mergeCell ref="A1515:I1515"/>
    <mergeCell ref="F1513:G1513"/>
    <mergeCell ref="H1513:I1513"/>
    <mergeCell ref="F1523:G1523"/>
    <mergeCell ref="H1523:I1523"/>
    <mergeCell ref="F1524:G1524"/>
    <mergeCell ref="H1524:I1524"/>
    <mergeCell ref="F1525:G1525"/>
    <mergeCell ref="H1482:I1482"/>
    <mergeCell ref="H1485:I1485"/>
    <mergeCell ref="H1499:I1499"/>
    <mergeCell ref="H1501:I1501"/>
    <mergeCell ref="H1500:I1500"/>
    <mergeCell ref="H1497:I1497"/>
    <mergeCell ref="H1498:I1498"/>
    <mergeCell ref="F1497:G1497"/>
    <mergeCell ref="F1498:G1498"/>
    <mergeCell ref="F1499:G1499"/>
    <mergeCell ref="F1500:G1500"/>
    <mergeCell ref="F1501:G1501"/>
    <mergeCell ref="A1492:I1492"/>
    <mergeCell ref="F1486:G1486"/>
    <mergeCell ref="H1486:I1486"/>
    <mergeCell ref="F1487:G1487"/>
    <mergeCell ref="F1488:G1488"/>
    <mergeCell ref="F1489:G1489"/>
    <mergeCell ref="F1490:G1490"/>
    <mergeCell ref="F1494:G1494"/>
    <mergeCell ref="F1495:G1495"/>
    <mergeCell ref="H1487:I1487"/>
    <mergeCell ref="H1490:I1490"/>
    <mergeCell ref="H1494:I1494"/>
    <mergeCell ref="H1495:I1495"/>
    <mergeCell ref="F1491:G1491"/>
    <mergeCell ref="H1491:I1491"/>
    <mergeCell ref="F1493:G1493"/>
    <mergeCell ref="F1496:G1496"/>
    <mergeCell ref="H1496:I1496"/>
    <mergeCell ref="H1402:I1402"/>
    <mergeCell ref="F1403:G1403"/>
    <mergeCell ref="H1403:I1403"/>
    <mergeCell ref="F1404:G1404"/>
    <mergeCell ref="H1404:I1404"/>
    <mergeCell ref="F1405:G1405"/>
    <mergeCell ref="H1405:I1405"/>
    <mergeCell ref="F1406:G1406"/>
    <mergeCell ref="H1406:I1406"/>
    <mergeCell ref="F1408:G1408"/>
    <mergeCell ref="H1408:I1408"/>
    <mergeCell ref="F1409:G1409"/>
    <mergeCell ref="H1409:I1409"/>
    <mergeCell ref="A1420:I1420"/>
    <mergeCell ref="H1459:I1459"/>
    <mergeCell ref="A1455:I1455"/>
    <mergeCell ref="F1454:G1454"/>
    <mergeCell ref="H1454:I1454"/>
    <mergeCell ref="F1456:G1456"/>
    <mergeCell ref="H1456:I1456"/>
    <mergeCell ref="F1458:G1458"/>
    <mergeCell ref="H1458:I1458"/>
    <mergeCell ref="F1459:G1459"/>
    <mergeCell ref="H1413:I1413"/>
    <mergeCell ref="H1418:I1418"/>
    <mergeCell ref="F1413:G1413"/>
    <mergeCell ref="F1418:G1418"/>
    <mergeCell ref="F1422:G1422"/>
    <mergeCell ref="H1422:I1422"/>
    <mergeCell ref="A1425:I1425"/>
    <mergeCell ref="A1407:I1407"/>
    <mergeCell ref="F1426:G1426"/>
    <mergeCell ref="H1426:I1426"/>
    <mergeCell ref="A1429:I1429"/>
    <mergeCell ref="H1434:I1434"/>
    <mergeCell ref="H1435:I1435"/>
    <mergeCell ref="H1436:I1436"/>
    <mergeCell ref="F1434:G1434"/>
    <mergeCell ref="F1435:G1435"/>
    <mergeCell ref="F1436:G1436"/>
    <mergeCell ref="F1373:G1373"/>
    <mergeCell ref="F1374:G1374"/>
    <mergeCell ref="F1376:G1376"/>
    <mergeCell ref="H1376:I1376"/>
    <mergeCell ref="F1378:G1378"/>
    <mergeCell ref="H1378:I1378"/>
    <mergeCell ref="F1379:G1379"/>
    <mergeCell ref="H1379:I1379"/>
    <mergeCell ref="A1394:I1394"/>
    <mergeCell ref="F1396:G1396"/>
    <mergeCell ref="F1397:G1397"/>
    <mergeCell ref="F1398:G1398"/>
    <mergeCell ref="H1396:I1396"/>
    <mergeCell ref="H1397:I1397"/>
    <mergeCell ref="H1398:I1398"/>
    <mergeCell ref="H1399:I1399"/>
    <mergeCell ref="H1400:I1400"/>
    <mergeCell ref="F1400:G1400"/>
    <mergeCell ref="H1377:I1377"/>
    <mergeCell ref="A1380:I1380"/>
    <mergeCell ref="A1382:I1382"/>
    <mergeCell ref="F1385:G1385"/>
    <mergeCell ref="H1385:I1385"/>
    <mergeCell ref="F1386:G1386"/>
    <mergeCell ref="F1387:G1387"/>
    <mergeCell ref="F1388:G1388"/>
    <mergeCell ref="F1389:G1389"/>
    <mergeCell ref="F1381:G1381"/>
    <mergeCell ref="H1381:I1381"/>
    <mergeCell ref="F1383:G1383"/>
    <mergeCell ref="H1383:I1383"/>
    <mergeCell ref="A1384:I1384"/>
    <mergeCell ref="H1386:I1386"/>
    <mergeCell ref="H1387:I1387"/>
    <mergeCell ref="H1388:I1388"/>
    <mergeCell ref="H1389:I1389"/>
    <mergeCell ref="F1124:I1124"/>
    <mergeCell ref="F1125:I1125"/>
    <mergeCell ref="F1126:I1126"/>
    <mergeCell ref="F1133:G1133"/>
    <mergeCell ref="F1134:G1134"/>
    <mergeCell ref="H1133:I1133"/>
    <mergeCell ref="H1134:I1134"/>
    <mergeCell ref="F1136:G1136"/>
    <mergeCell ref="H1136:I1136"/>
    <mergeCell ref="F1137:G1137"/>
    <mergeCell ref="H1137:I1137"/>
    <mergeCell ref="F1140:I1140"/>
    <mergeCell ref="F1214:I1214"/>
    <mergeCell ref="F1307:I1307"/>
    <mergeCell ref="F1308:I1308"/>
    <mergeCell ref="F1309:I1309"/>
    <mergeCell ref="F1313:I1313"/>
    <mergeCell ref="A1138:I1138"/>
    <mergeCell ref="A1135:I1135"/>
    <mergeCell ref="A1130:I1130"/>
    <mergeCell ref="F1282:I1282"/>
    <mergeCell ref="H950:I950"/>
    <mergeCell ref="H953:I953"/>
    <mergeCell ref="H954:I954"/>
    <mergeCell ref="F957:I957"/>
    <mergeCell ref="F960:I960"/>
    <mergeCell ref="H959:I959"/>
    <mergeCell ref="F1049:G1049"/>
    <mergeCell ref="F1050:G1050"/>
    <mergeCell ref="F1051:G1051"/>
    <mergeCell ref="F1052:G1052"/>
    <mergeCell ref="F1053:G1053"/>
    <mergeCell ref="F1054:G1054"/>
    <mergeCell ref="F1055:G1055"/>
    <mergeCell ref="F1120:I1120"/>
    <mergeCell ref="F1121:I1121"/>
    <mergeCell ref="F1122:I1122"/>
    <mergeCell ref="F1123:I1123"/>
    <mergeCell ref="A1064:I1064"/>
    <mergeCell ref="A1056:I1056"/>
    <mergeCell ref="A966:I966"/>
    <mergeCell ref="H1036:I1036"/>
    <mergeCell ref="H1039:I1039"/>
    <mergeCell ref="H1042:I1042"/>
    <mergeCell ref="H1047:I1047"/>
    <mergeCell ref="H1050:I1050"/>
    <mergeCell ref="H1053:I1053"/>
    <mergeCell ref="H1045:I1045"/>
    <mergeCell ref="H1046:I1046"/>
    <mergeCell ref="H1007:I1007"/>
    <mergeCell ref="H1008:I1008"/>
    <mergeCell ref="H1009:I1009"/>
    <mergeCell ref="F1015:G1015"/>
    <mergeCell ref="H944:I944"/>
    <mergeCell ref="H945:I945"/>
    <mergeCell ref="A911:I911"/>
    <mergeCell ref="F939:G939"/>
    <mergeCell ref="H939:I939"/>
    <mergeCell ref="A940:I940"/>
    <mergeCell ref="F926:G926"/>
    <mergeCell ref="H926:I926"/>
    <mergeCell ref="F927:G927"/>
    <mergeCell ref="H927:I927"/>
    <mergeCell ref="F1014:G1014"/>
    <mergeCell ref="F937:G937"/>
    <mergeCell ref="H937:I937"/>
    <mergeCell ref="H1003:I1003"/>
    <mergeCell ref="H962:I962"/>
    <mergeCell ref="H963:I963"/>
    <mergeCell ref="H964:I964"/>
    <mergeCell ref="H965:I965"/>
    <mergeCell ref="F967:G967"/>
    <mergeCell ref="H967:I967"/>
    <mergeCell ref="H1010:I1010"/>
    <mergeCell ref="H1011:I1011"/>
    <mergeCell ref="H1012:I1012"/>
    <mergeCell ref="H1013:I1013"/>
    <mergeCell ref="H1014:I1014"/>
    <mergeCell ref="H1015:I1015"/>
    <mergeCell ref="F924:G924"/>
    <mergeCell ref="H924:I924"/>
    <mergeCell ref="F925:G925"/>
    <mergeCell ref="H925:I925"/>
    <mergeCell ref="H922:I922"/>
    <mergeCell ref="F920:G920"/>
    <mergeCell ref="H920:I920"/>
    <mergeCell ref="A961:I961"/>
    <mergeCell ref="A958:I958"/>
    <mergeCell ref="A952:I952"/>
    <mergeCell ref="F978:G978"/>
    <mergeCell ref="H978:I978"/>
    <mergeCell ref="F979:G979"/>
    <mergeCell ref="F1006:G1006"/>
    <mergeCell ref="H1006:I1006"/>
    <mergeCell ref="F1008:G1008"/>
    <mergeCell ref="F1009:G1009"/>
    <mergeCell ref="F1007:G1007"/>
    <mergeCell ref="F861:G861"/>
    <mergeCell ref="F862:G862"/>
    <mergeCell ref="F863:G863"/>
    <mergeCell ref="F839:G839"/>
    <mergeCell ref="F865:G865"/>
    <mergeCell ref="F840:G840"/>
    <mergeCell ref="F841:G841"/>
    <mergeCell ref="F842:G842"/>
    <mergeCell ref="F844:G844"/>
    <mergeCell ref="F873:G873"/>
    <mergeCell ref="F908:G908"/>
    <mergeCell ref="F909:G909"/>
    <mergeCell ref="F914:G914"/>
    <mergeCell ref="H914:I914"/>
    <mergeCell ref="F915:G915"/>
    <mergeCell ref="H915:I915"/>
    <mergeCell ref="F916:G916"/>
    <mergeCell ref="H916:I916"/>
    <mergeCell ref="A843:I843"/>
    <mergeCell ref="A807:I807"/>
    <mergeCell ref="F826:G826"/>
    <mergeCell ref="F827:G827"/>
    <mergeCell ref="F828:G828"/>
    <mergeCell ref="F829:G829"/>
    <mergeCell ref="F830:G830"/>
    <mergeCell ref="F813:G813"/>
    <mergeCell ref="F814:G814"/>
    <mergeCell ref="F815:G815"/>
    <mergeCell ref="F816:G816"/>
    <mergeCell ref="F817:G817"/>
    <mergeCell ref="F818:G818"/>
    <mergeCell ref="F819:G819"/>
    <mergeCell ref="F820:G820"/>
    <mergeCell ref="F821:G821"/>
    <mergeCell ref="F860:G860"/>
    <mergeCell ref="F714:G714"/>
    <mergeCell ref="H714:I714"/>
    <mergeCell ref="F718:G718"/>
    <mergeCell ref="H718:I718"/>
    <mergeCell ref="F715:G715"/>
    <mergeCell ref="F716:G716"/>
    <mergeCell ref="H715:I715"/>
    <mergeCell ref="H716:I716"/>
    <mergeCell ref="F719:G719"/>
    <mergeCell ref="F720:G720"/>
    <mergeCell ref="H719:I719"/>
    <mergeCell ref="H720:I720"/>
    <mergeCell ref="F773:I773"/>
    <mergeCell ref="F777:I777"/>
    <mergeCell ref="F778:I778"/>
    <mergeCell ref="F779:I779"/>
    <mergeCell ref="F782:I782"/>
    <mergeCell ref="F781:I781"/>
    <mergeCell ref="A717:I717"/>
    <mergeCell ref="F772:I772"/>
    <mergeCell ref="F758:I758"/>
    <mergeCell ref="F759:I759"/>
    <mergeCell ref="F760:I760"/>
    <mergeCell ref="F761:I761"/>
    <mergeCell ref="F762:I762"/>
    <mergeCell ref="F763:I763"/>
    <mergeCell ref="F764:I764"/>
    <mergeCell ref="F774:I774"/>
    <mergeCell ref="F768:I768"/>
    <mergeCell ref="F744:I744"/>
    <mergeCell ref="F745:I745"/>
    <mergeCell ref="F746:I746"/>
    <mergeCell ref="F674:G674"/>
    <mergeCell ref="H676:I676"/>
    <mergeCell ref="F676:G676"/>
    <mergeCell ref="F677:G677"/>
    <mergeCell ref="H677:I677"/>
    <mergeCell ref="H678:I678"/>
    <mergeCell ref="F678:G678"/>
    <mergeCell ref="F680:I680"/>
    <mergeCell ref="F683:I683"/>
    <mergeCell ref="D687:J687"/>
    <mergeCell ref="F688:I688"/>
    <mergeCell ref="F689:I689"/>
    <mergeCell ref="F694:G694"/>
    <mergeCell ref="F695:G695"/>
    <mergeCell ref="H695:I695"/>
    <mergeCell ref="A696:I696"/>
    <mergeCell ref="H694:I694"/>
    <mergeCell ref="A679:I679"/>
    <mergeCell ref="F691:I691"/>
    <mergeCell ref="F692:I692"/>
    <mergeCell ref="H623:I623"/>
    <mergeCell ref="F627:G627"/>
    <mergeCell ref="F628:G628"/>
    <mergeCell ref="F629:G629"/>
    <mergeCell ref="H629:I629"/>
    <mergeCell ref="H633:I633"/>
    <mergeCell ref="F653:I653"/>
    <mergeCell ref="F654:I654"/>
    <mergeCell ref="F655:I655"/>
    <mergeCell ref="F656:I656"/>
    <mergeCell ref="F657:I657"/>
    <mergeCell ref="F658:I658"/>
    <mergeCell ref="F662:G662"/>
    <mergeCell ref="H662:I662"/>
    <mergeCell ref="F663:G663"/>
    <mergeCell ref="H663:I663"/>
    <mergeCell ref="A624:I624"/>
    <mergeCell ref="F631:I631"/>
    <mergeCell ref="H627:I627"/>
    <mergeCell ref="H628:I628"/>
    <mergeCell ref="A632:I632"/>
    <mergeCell ref="F643:I643"/>
    <mergeCell ref="F644:I644"/>
    <mergeCell ref="F645:I645"/>
    <mergeCell ref="F646:I646"/>
    <mergeCell ref="F647:I647"/>
    <mergeCell ref="F637:I637"/>
    <mergeCell ref="F638:I638"/>
    <mergeCell ref="F639:I639"/>
    <mergeCell ref="F640:I640"/>
    <mergeCell ref="F330:J330"/>
    <mergeCell ref="F331:J331"/>
    <mergeCell ref="F358:J358"/>
    <mergeCell ref="F359:J359"/>
    <mergeCell ref="F360:J360"/>
    <mergeCell ref="D362:J362"/>
    <mergeCell ref="D363:J363"/>
    <mergeCell ref="D364:J364"/>
    <mergeCell ref="B527:C527"/>
    <mergeCell ref="B529:C529"/>
    <mergeCell ref="B530:C530"/>
    <mergeCell ref="B531:C531"/>
    <mergeCell ref="D558:J558"/>
    <mergeCell ref="H583:I583"/>
    <mergeCell ref="F602:G602"/>
    <mergeCell ref="H602:I602"/>
    <mergeCell ref="F619:G619"/>
    <mergeCell ref="F618:G618"/>
    <mergeCell ref="F617:G617"/>
    <mergeCell ref="F614:G614"/>
    <mergeCell ref="H614:I614"/>
    <mergeCell ref="H617:I617"/>
    <mergeCell ref="H618:I618"/>
    <mergeCell ref="H619:I619"/>
    <mergeCell ref="F613:G613"/>
    <mergeCell ref="H613:I613"/>
    <mergeCell ref="F612:G612"/>
    <mergeCell ref="H612:I612"/>
    <mergeCell ref="F605:G605"/>
    <mergeCell ref="H603:I603"/>
    <mergeCell ref="F604:G604"/>
    <mergeCell ref="F606:G606"/>
    <mergeCell ref="F305:J305"/>
    <mergeCell ref="F314:J314"/>
    <mergeCell ref="F315:J315"/>
    <mergeCell ref="F316:J316"/>
    <mergeCell ref="F317:J317"/>
    <mergeCell ref="F318:J318"/>
    <mergeCell ref="F319:J319"/>
    <mergeCell ref="F320:J320"/>
    <mergeCell ref="F321:J321"/>
    <mergeCell ref="F322:J322"/>
    <mergeCell ref="F323:J323"/>
    <mergeCell ref="F324:J324"/>
    <mergeCell ref="F325:J325"/>
    <mergeCell ref="F326:J326"/>
    <mergeCell ref="F327:J327"/>
    <mergeCell ref="F328:J328"/>
    <mergeCell ref="F329:J329"/>
    <mergeCell ref="F306:J306"/>
    <mergeCell ref="F307:J307"/>
    <mergeCell ref="F308:J308"/>
    <mergeCell ref="F309:J309"/>
    <mergeCell ref="F310:J310"/>
    <mergeCell ref="F311:J311"/>
    <mergeCell ref="F312:J312"/>
    <mergeCell ref="F313:J313"/>
    <mergeCell ref="F288:J288"/>
    <mergeCell ref="F289:J289"/>
    <mergeCell ref="F290:J290"/>
    <mergeCell ref="F291:J291"/>
    <mergeCell ref="F292:J292"/>
    <mergeCell ref="F293:J293"/>
    <mergeCell ref="F294:J294"/>
    <mergeCell ref="F295:J295"/>
    <mergeCell ref="F296:J296"/>
    <mergeCell ref="F297:J297"/>
    <mergeCell ref="F298:J298"/>
    <mergeCell ref="F299:J299"/>
    <mergeCell ref="F300:J300"/>
    <mergeCell ref="F301:J301"/>
    <mergeCell ref="F302:J302"/>
    <mergeCell ref="F303:J303"/>
    <mergeCell ref="F304:J304"/>
    <mergeCell ref="F268:I268"/>
    <mergeCell ref="F270:G270"/>
    <mergeCell ref="F271:G271"/>
    <mergeCell ref="H278:I278"/>
    <mergeCell ref="H279:I279"/>
    <mergeCell ref="H280:I280"/>
    <mergeCell ref="A282:J282"/>
    <mergeCell ref="D283:J283"/>
    <mergeCell ref="F284:J284"/>
    <mergeCell ref="F285:J285"/>
    <mergeCell ref="F286:J286"/>
    <mergeCell ref="F287:J287"/>
    <mergeCell ref="F181:I181"/>
    <mergeCell ref="F184:I184"/>
    <mergeCell ref="A191:I191"/>
    <mergeCell ref="F182:I182"/>
    <mergeCell ref="F183:I183"/>
    <mergeCell ref="F190:I190"/>
    <mergeCell ref="F192:I192"/>
    <mergeCell ref="F193:I193"/>
    <mergeCell ref="F194:I194"/>
    <mergeCell ref="F195:I195"/>
    <mergeCell ref="A202:I202"/>
    <mergeCell ref="F189:I189"/>
    <mergeCell ref="A281:I281"/>
    <mergeCell ref="H274:I274"/>
    <mergeCell ref="H276:I276"/>
    <mergeCell ref="H273:I273"/>
    <mergeCell ref="F185:I185"/>
    <mergeCell ref="F186:I186"/>
    <mergeCell ref="F187:I187"/>
    <mergeCell ref="F220:I220"/>
    <mergeCell ref="F167:I167"/>
    <mergeCell ref="F174:I174"/>
    <mergeCell ref="G143:H143"/>
    <mergeCell ref="G144:H144"/>
    <mergeCell ref="G145:H145"/>
    <mergeCell ref="G146:H146"/>
    <mergeCell ref="G147:H147"/>
    <mergeCell ref="A159:I159"/>
    <mergeCell ref="G148:H148"/>
    <mergeCell ref="G149:H149"/>
    <mergeCell ref="G150:H150"/>
    <mergeCell ref="G151:H151"/>
    <mergeCell ref="G152:H152"/>
    <mergeCell ref="F120:I120"/>
    <mergeCell ref="F124:I124"/>
    <mergeCell ref="A166:I166"/>
    <mergeCell ref="F199:I199"/>
    <mergeCell ref="H928:I928"/>
    <mergeCell ref="F923:G923"/>
    <mergeCell ref="F928:G928"/>
    <mergeCell ref="H933:I933"/>
    <mergeCell ref="F933:G933"/>
    <mergeCell ref="A930:I930"/>
    <mergeCell ref="A935:I935"/>
    <mergeCell ref="A947:I947"/>
    <mergeCell ref="F941:G941"/>
    <mergeCell ref="A1366:I1366"/>
    <mergeCell ref="A1360:I1360"/>
    <mergeCell ref="H887:I887"/>
    <mergeCell ref="B4:C4"/>
    <mergeCell ref="A5:J5"/>
    <mergeCell ref="D6:J6"/>
    <mergeCell ref="F34:J34"/>
    <mergeCell ref="F46:G46"/>
    <mergeCell ref="F47:G47"/>
    <mergeCell ref="H46:I46"/>
    <mergeCell ref="H47:I47"/>
    <mergeCell ref="F43:J43"/>
    <mergeCell ref="F44:J44"/>
    <mergeCell ref="D50:J50"/>
    <mergeCell ref="F51:G51"/>
    <mergeCell ref="H51:I51"/>
    <mergeCell ref="H52:I52"/>
    <mergeCell ref="F52:G52"/>
    <mergeCell ref="F17:J17"/>
    <mergeCell ref="G157:H157"/>
    <mergeCell ref="F160:I160"/>
    <mergeCell ref="H893:I893"/>
    <mergeCell ref="F890:G890"/>
    <mergeCell ref="F891:G891"/>
    <mergeCell ref="F892:G892"/>
    <mergeCell ref="F893:G893"/>
    <mergeCell ref="F895:I895"/>
    <mergeCell ref="F896:I896"/>
    <mergeCell ref="F900:I900"/>
    <mergeCell ref="F901:I901"/>
    <mergeCell ref="F882:G882"/>
    <mergeCell ref="F883:G883"/>
    <mergeCell ref="F885:G885"/>
    <mergeCell ref="F886:G886"/>
    <mergeCell ref="F906:G906"/>
    <mergeCell ref="F907:G907"/>
    <mergeCell ref="F910:I910"/>
    <mergeCell ref="H923:I923"/>
    <mergeCell ref="H888:I888"/>
    <mergeCell ref="H889:I889"/>
    <mergeCell ref="F887:G887"/>
    <mergeCell ref="F888:G888"/>
    <mergeCell ref="F889:G889"/>
    <mergeCell ref="F922:G922"/>
    <mergeCell ref="F917:G917"/>
    <mergeCell ref="H917:I917"/>
    <mergeCell ref="F918:G918"/>
    <mergeCell ref="H918:I918"/>
    <mergeCell ref="A1218:I1218"/>
    <mergeCell ref="A1147:I1147"/>
    <mergeCell ref="F1324:I1324"/>
    <mergeCell ref="F1335:I1335"/>
    <mergeCell ref="F1339:I1339"/>
    <mergeCell ref="F1340:I1340"/>
    <mergeCell ref="F1341:I1341"/>
    <mergeCell ref="F1343:I1343"/>
    <mergeCell ref="F1344:I1344"/>
    <mergeCell ref="F1345:I1345"/>
    <mergeCell ref="F1350:G1350"/>
    <mergeCell ref="F1353:G1353"/>
    <mergeCell ref="F1355:G1355"/>
    <mergeCell ref="F1284:I1284"/>
    <mergeCell ref="F1215:I1215"/>
    <mergeCell ref="F1216:I1216"/>
    <mergeCell ref="F1211:I1211"/>
    <mergeCell ref="F1212:I1212"/>
    <mergeCell ref="F1219:I1219"/>
    <mergeCell ref="F1220:I1220"/>
    <mergeCell ref="F1221:I1221"/>
    <mergeCell ref="F1222:I1222"/>
    <mergeCell ref="F1223:I1223"/>
    <mergeCell ref="F1224:I1224"/>
    <mergeCell ref="F1225:I1225"/>
    <mergeCell ref="A1347:J1347"/>
    <mergeCell ref="F1283:I1283"/>
    <mergeCell ref="F1304:I1304"/>
    <mergeCell ref="F1306:I1306"/>
    <mergeCell ref="F1305:I1305"/>
    <mergeCell ref="F1274:I1274"/>
    <mergeCell ref="F1275:I1275"/>
    <mergeCell ref="A1678:I1678"/>
    <mergeCell ref="A1669:I1669"/>
    <mergeCell ref="A1643:I1643"/>
    <mergeCell ref="A1640:I1640"/>
    <mergeCell ref="A1637:I1637"/>
    <mergeCell ref="A1631:I1631"/>
    <mergeCell ref="A1604:I1604"/>
    <mergeCell ref="A1577:I1577"/>
    <mergeCell ref="A1574:I1574"/>
    <mergeCell ref="A1567:I1567"/>
    <mergeCell ref="A1564:I1564"/>
    <mergeCell ref="A1561:I1561"/>
    <mergeCell ref="A1558:I1558"/>
    <mergeCell ref="A1555:I1555"/>
    <mergeCell ref="A1552:I1552"/>
    <mergeCell ref="A1549:I1549"/>
    <mergeCell ref="A1542:I1542"/>
    <mergeCell ref="F1551:I1551"/>
    <mergeCell ref="F1553:I1553"/>
    <mergeCell ref="F1554:I1554"/>
    <mergeCell ref="F1556:G1556"/>
    <mergeCell ref="F1557:G1557"/>
    <mergeCell ref="H1556:I1556"/>
    <mergeCell ref="H1557:I1557"/>
    <mergeCell ref="F1560:I1560"/>
    <mergeCell ref="F1563:I1563"/>
    <mergeCell ref="F1568:I1568"/>
    <mergeCell ref="F1569:I1569"/>
    <mergeCell ref="F1575:G1575"/>
    <mergeCell ref="F1576:G1576"/>
    <mergeCell ref="H1609:I1609"/>
    <mergeCell ref="F1624:G1624"/>
    <mergeCell ref="F1610:G1610"/>
    <mergeCell ref="F649:I649"/>
    <mergeCell ref="F590:G590"/>
    <mergeCell ref="H590:I590"/>
    <mergeCell ref="F591:G591"/>
    <mergeCell ref="H591:I591"/>
    <mergeCell ref="F921:G921"/>
    <mergeCell ref="H921:I921"/>
    <mergeCell ref="H635:I635"/>
    <mergeCell ref="A846:I846"/>
    <mergeCell ref="F903:G903"/>
    <mergeCell ref="F904:G904"/>
    <mergeCell ref="F905:G905"/>
    <mergeCell ref="A902:I902"/>
    <mergeCell ref="A897:I897"/>
    <mergeCell ref="A894:I894"/>
    <mergeCell ref="A884:I884"/>
    <mergeCell ref="A881:I881"/>
    <mergeCell ref="A872:I872"/>
    <mergeCell ref="A853:I853"/>
    <mergeCell ref="H890:I890"/>
    <mergeCell ref="H891:I891"/>
    <mergeCell ref="H892:I892"/>
    <mergeCell ref="F868:G868"/>
    <mergeCell ref="F869:G869"/>
    <mergeCell ref="F875:G875"/>
    <mergeCell ref="F876:G876"/>
    <mergeCell ref="F878:G878"/>
    <mergeCell ref="F879:G879"/>
    <mergeCell ref="F880:G880"/>
    <mergeCell ref="F870:G870"/>
    <mergeCell ref="H869:I869"/>
    <mergeCell ref="B553:C553"/>
    <mergeCell ref="B554:C554"/>
    <mergeCell ref="B539:C539"/>
    <mergeCell ref="B525:C525"/>
    <mergeCell ref="B576:C576"/>
    <mergeCell ref="F574:J574"/>
    <mergeCell ref="F575:J575"/>
    <mergeCell ref="F576:J576"/>
    <mergeCell ref="H634:I634"/>
    <mergeCell ref="F648:I648"/>
    <mergeCell ref="A621:I621"/>
    <mergeCell ref="A609:I609"/>
    <mergeCell ref="A142:I142"/>
    <mergeCell ref="G153:H153"/>
    <mergeCell ref="G154:H154"/>
    <mergeCell ref="G155:H155"/>
    <mergeCell ref="F168:I168"/>
    <mergeCell ref="F169:I169"/>
    <mergeCell ref="A173:I173"/>
    <mergeCell ref="F164:I164"/>
    <mergeCell ref="F165:I165"/>
    <mergeCell ref="A170:I170"/>
    <mergeCell ref="F161:I161"/>
    <mergeCell ref="F162:I162"/>
    <mergeCell ref="F188:I188"/>
    <mergeCell ref="A163:I163"/>
    <mergeCell ref="F527:J527"/>
    <mergeCell ref="F528:J528"/>
    <mergeCell ref="F597:G597"/>
    <mergeCell ref="H597:I597"/>
    <mergeCell ref="G158:H158"/>
    <mergeCell ref="G156:H156"/>
    <mergeCell ref="H873:I873"/>
    <mergeCell ref="F553:J553"/>
    <mergeCell ref="F554:J554"/>
    <mergeCell ref="B551:C551"/>
    <mergeCell ref="B552:C552"/>
    <mergeCell ref="B528:C528"/>
    <mergeCell ref="F13:J13"/>
    <mergeCell ref="F14:J14"/>
    <mergeCell ref="A18:I18"/>
    <mergeCell ref="F63:G63"/>
    <mergeCell ref="F64:G64"/>
    <mergeCell ref="A68:I68"/>
    <mergeCell ref="H277:I277"/>
    <mergeCell ref="H270:I270"/>
    <mergeCell ref="H271:I271"/>
    <mergeCell ref="A275:I275"/>
    <mergeCell ref="A272:I272"/>
    <mergeCell ref="F484:J484"/>
    <mergeCell ref="F83:H83"/>
    <mergeCell ref="F84:H84"/>
    <mergeCell ref="F77:I77"/>
    <mergeCell ref="F78:I78"/>
    <mergeCell ref="F196:I196"/>
    <mergeCell ref="F197:I197"/>
    <mergeCell ref="F198:I198"/>
    <mergeCell ref="H102:I102"/>
    <mergeCell ref="F526:J526"/>
    <mergeCell ref="F125:I125"/>
    <mergeCell ref="F126:I126"/>
    <mergeCell ref="F529:J529"/>
    <mergeCell ref="F530:J530"/>
    <mergeCell ref="F531:J531"/>
    <mergeCell ref="F532:J532"/>
    <mergeCell ref="F533:J533"/>
    <mergeCell ref="F534:J534"/>
    <mergeCell ref="F535:J535"/>
    <mergeCell ref="F536:J536"/>
    <mergeCell ref="A877:I877"/>
    <mergeCell ref="F1302:I1302"/>
    <mergeCell ref="F1303:I1303"/>
    <mergeCell ref="F1268:I1268"/>
    <mergeCell ref="F1269:I1269"/>
    <mergeCell ref="F1270:I1270"/>
    <mergeCell ref="F1271:I1271"/>
    <mergeCell ref="F1272:I1272"/>
    <mergeCell ref="F1273:I1273"/>
    <mergeCell ref="A797:I797"/>
    <mergeCell ref="A784:I784"/>
    <mergeCell ref="A721:I721"/>
    <mergeCell ref="A709:I709"/>
    <mergeCell ref="A706:I706"/>
    <mergeCell ref="A701:I701"/>
    <mergeCell ref="A693:I693"/>
    <mergeCell ref="A690:I690"/>
    <mergeCell ref="A685:I685"/>
    <mergeCell ref="A682:I682"/>
    <mergeCell ref="H876:I876"/>
    <mergeCell ref="F623:G623"/>
    <mergeCell ref="F1295:I1295"/>
    <mergeCell ref="F1296:I1296"/>
    <mergeCell ref="F1297:I1297"/>
    <mergeCell ref="F1298:I1298"/>
    <mergeCell ref="F1299:I1299"/>
    <mergeCell ref="F1300:I1300"/>
    <mergeCell ref="F1597:I1597"/>
    <mergeCell ref="F1598:I1598"/>
    <mergeCell ref="F1599:I1599"/>
    <mergeCell ref="F1600:I1600"/>
    <mergeCell ref="F1601:I1601"/>
    <mergeCell ref="F1602:I1602"/>
    <mergeCell ref="F1603:I1603"/>
    <mergeCell ref="F1503:G1503"/>
    <mergeCell ref="H1503:I1503"/>
    <mergeCell ref="A1674:I1674"/>
    <mergeCell ref="F1670:I1670"/>
    <mergeCell ref="A1649:I1649"/>
    <mergeCell ref="A675:I675"/>
    <mergeCell ref="F518:J518"/>
    <mergeCell ref="F519:J519"/>
    <mergeCell ref="F520:J520"/>
    <mergeCell ref="F521:J521"/>
    <mergeCell ref="F522:J522"/>
    <mergeCell ref="F523:J523"/>
    <mergeCell ref="F524:J524"/>
    <mergeCell ref="B524:C524"/>
    <mergeCell ref="B523:C523"/>
    <mergeCell ref="F611:G611"/>
    <mergeCell ref="H611:I611"/>
    <mergeCell ref="F603:G603"/>
    <mergeCell ref="F1588:I1588"/>
    <mergeCell ref="F1622:G1622"/>
    <mergeCell ref="F1623:G1623"/>
    <mergeCell ref="H1622:I1622"/>
    <mergeCell ref="H1623:I1623"/>
    <mergeCell ref="F1356:G1356"/>
    <mergeCell ref="F1358:G1358"/>
    <mergeCell ref="F1621:G1621"/>
    <mergeCell ref="H1621:I1621"/>
    <mergeCell ref="F1605:G1605"/>
    <mergeCell ref="H1605:I1605"/>
    <mergeCell ref="H1620:I1620"/>
    <mergeCell ref="F1620:G1620"/>
    <mergeCell ref="F1618:G1618"/>
    <mergeCell ref="H1618:I1618"/>
    <mergeCell ref="F1619:G1619"/>
    <mergeCell ref="H1619:I1619"/>
    <mergeCell ref="F1614:G1614"/>
    <mergeCell ref="H1614:I1614"/>
    <mergeCell ref="F1615:G1615"/>
    <mergeCell ref="H1615:I1615"/>
    <mergeCell ref="F1616:G1616"/>
    <mergeCell ref="H1616:I1616"/>
    <mergeCell ref="F1617:G1617"/>
    <mergeCell ref="H1617:I1617"/>
    <mergeCell ref="F1606:G1606"/>
    <mergeCell ref="H1606:I1606"/>
    <mergeCell ref="F1607:G1607"/>
    <mergeCell ref="H1607:I1607"/>
    <mergeCell ref="F1608:G1608"/>
    <mergeCell ref="H1608:I1608"/>
    <mergeCell ref="F1609:G1609"/>
    <mergeCell ref="H1610:I1610"/>
    <mergeCell ref="F1611:G1611"/>
    <mergeCell ref="H1611:I1611"/>
    <mergeCell ref="F1612:G1612"/>
    <mergeCell ref="H1612:I1612"/>
    <mergeCell ref="F1613:G1613"/>
    <mergeCell ref="H1613:I1613"/>
    <mergeCell ref="F1592:I1592"/>
    <mergeCell ref="F1593:I1593"/>
    <mergeCell ref="F1594:I1594"/>
    <mergeCell ref="F1595:I1595"/>
    <mergeCell ref="F1596:I1596"/>
    <mergeCell ref="F1572:I1572"/>
    <mergeCell ref="F1573:I1573"/>
    <mergeCell ref="F1578:I1578"/>
    <mergeCell ref="H1575:I1575"/>
    <mergeCell ref="H1576:I1576"/>
    <mergeCell ref="F1579:I1579"/>
    <mergeCell ref="F1580:I1580"/>
    <mergeCell ref="F1581:I1581"/>
    <mergeCell ref="F1582:I1582"/>
    <mergeCell ref="F1583:I1583"/>
    <mergeCell ref="F1584:I1584"/>
    <mergeCell ref="F1585:I1585"/>
    <mergeCell ref="F1586:I1586"/>
    <mergeCell ref="F1587:I1587"/>
    <mergeCell ref="F1239:I1239"/>
    <mergeCell ref="F1253:I1253"/>
    <mergeCell ref="F1247:I1247"/>
    <mergeCell ref="F1248:I1248"/>
    <mergeCell ref="F1249:I1249"/>
    <mergeCell ref="F1250:I1250"/>
    <mergeCell ref="F1251:I1251"/>
    <mergeCell ref="F1252:I1252"/>
    <mergeCell ref="F1559:I1559"/>
    <mergeCell ref="F1562:I1562"/>
    <mergeCell ref="F1565:I1565"/>
    <mergeCell ref="A1570:I1570"/>
    <mergeCell ref="F1566:I1566"/>
    <mergeCell ref="F1571:I1571"/>
    <mergeCell ref="F1589:I1589"/>
    <mergeCell ref="F1590:I1590"/>
    <mergeCell ref="F1591:I1591"/>
    <mergeCell ref="F1359:G1359"/>
    <mergeCell ref="A1357:I1357"/>
    <mergeCell ref="A1354:I1354"/>
    <mergeCell ref="A1351:I1351"/>
    <mergeCell ref="A1346:I1346"/>
    <mergeCell ref="A1331:I1331"/>
    <mergeCell ref="A1320:I1320"/>
    <mergeCell ref="A1314:I1314"/>
    <mergeCell ref="F1372:G1372"/>
    <mergeCell ref="F1276:I1276"/>
    <mergeCell ref="F1277:I1277"/>
    <mergeCell ref="F1278:I1278"/>
    <mergeCell ref="F1279:I1279"/>
    <mergeCell ref="F1280:I1280"/>
    <mergeCell ref="F1281:I1281"/>
    <mergeCell ref="F1288:I1288"/>
    <mergeCell ref="F1289:I1289"/>
    <mergeCell ref="F1290:I1290"/>
    <mergeCell ref="F1291:I1291"/>
    <mergeCell ref="F1292:I1292"/>
    <mergeCell ref="F1293:I1293"/>
    <mergeCell ref="F1294:I1294"/>
    <mergeCell ref="F1202:I1202"/>
    <mergeCell ref="F1142:I1142"/>
    <mergeCell ref="F1143:I1143"/>
    <mergeCell ref="F1144:I1144"/>
    <mergeCell ref="F1145:I1145"/>
    <mergeCell ref="F1146:I1146"/>
    <mergeCell ref="F1153:I1153"/>
    <mergeCell ref="F1154:I1154"/>
    <mergeCell ref="F1155:I1155"/>
    <mergeCell ref="F1156:I1156"/>
    <mergeCell ref="F1157:I1157"/>
    <mergeCell ref="F1201:I1201"/>
    <mergeCell ref="F1226:I1226"/>
    <mergeCell ref="F1227:I1227"/>
    <mergeCell ref="F1228:I1228"/>
    <mergeCell ref="F1230:I1230"/>
    <mergeCell ref="F1231:I1231"/>
    <mergeCell ref="F1229:I1229"/>
    <mergeCell ref="F1232:I1232"/>
    <mergeCell ref="F1233:I1233"/>
    <mergeCell ref="F1234:I1234"/>
    <mergeCell ref="F1235:I1235"/>
    <mergeCell ref="F1236:I1236"/>
    <mergeCell ref="F1237:I1237"/>
    <mergeCell ref="F1238:I1238"/>
    <mergeCell ref="F1258:I1258"/>
    <mergeCell ref="F1260:I1260"/>
    <mergeCell ref="F1259:I1259"/>
    <mergeCell ref="F1261:I1261"/>
    <mergeCell ref="F1262:I1262"/>
    <mergeCell ref="F1263:I1263"/>
    <mergeCell ref="F1264:I1264"/>
    <mergeCell ref="F1265:I1265"/>
    <mergeCell ref="F1266:I1266"/>
    <mergeCell ref="F1267:I1267"/>
    <mergeCell ref="F1240:I1240"/>
    <mergeCell ref="F1241:I1241"/>
    <mergeCell ref="A1507:I1507"/>
    <mergeCell ref="F1474:G1474"/>
    <mergeCell ref="H1474:I1474"/>
    <mergeCell ref="F1483:G1483"/>
    <mergeCell ref="H1483:I1483"/>
    <mergeCell ref="H1427:I1427"/>
    <mergeCell ref="F1428:G1428"/>
    <mergeCell ref="H1428:I1428"/>
    <mergeCell ref="F1430:G1430"/>
    <mergeCell ref="H1430:I1430"/>
    <mergeCell ref="F1431:G1431"/>
    <mergeCell ref="H1431:I1431"/>
    <mergeCell ref="F1432:G1432"/>
    <mergeCell ref="H1432:I1432"/>
    <mergeCell ref="A1433:I1433"/>
    <mergeCell ref="H1465:I1465"/>
    <mergeCell ref="F1254:I1254"/>
    <mergeCell ref="F1255:I1255"/>
    <mergeCell ref="F1256:I1256"/>
    <mergeCell ref="F1287:I1287"/>
    <mergeCell ref="H1467:I1467"/>
    <mergeCell ref="F1472:G1472"/>
    <mergeCell ref="F1473:G1473"/>
    <mergeCell ref="H1469:I1469"/>
    <mergeCell ref="H1470:I1470"/>
    <mergeCell ref="H1471:I1471"/>
    <mergeCell ref="H1472:I1472"/>
    <mergeCell ref="H1473:I1473"/>
    <mergeCell ref="A1475:I1475"/>
    <mergeCell ref="F1462:G1462"/>
    <mergeCell ref="H1462:I1462"/>
    <mergeCell ref="F1463:G1463"/>
    <mergeCell ref="H1463:I1463"/>
    <mergeCell ref="F1159:I1159"/>
    <mergeCell ref="F1160:I1160"/>
    <mergeCell ref="F1161:I1161"/>
    <mergeCell ref="F1162:I1162"/>
    <mergeCell ref="F1163:I1163"/>
    <mergeCell ref="F1164:I1164"/>
    <mergeCell ref="F1205:I1205"/>
    <mergeCell ref="F1206:I1206"/>
    <mergeCell ref="F1207:I1207"/>
    <mergeCell ref="F1208:I1208"/>
    <mergeCell ref="F1209:I1209"/>
    <mergeCell ref="F1210:I1210"/>
    <mergeCell ref="F1186:I1186"/>
    <mergeCell ref="F1187:I1187"/>
    <mergeCell ref="F1188:I1188"/>
    <mergeCell ref="F1416:G1416"/>
    <mergeCell ref="F1301:I1301"/>
    <mergeCell ref="F1285:I1285"/>
    <mergeCell ref="F1286:I1286"/>
    <mergeCell ref="F1410:G1410"/>
    <mergeCell ref="H1410:I1410"/>
    <mergeCell ref="H1417:I1417"/>
    <mergeCell ref="F1414:G1414"/>
    <mergeCell ref="H1393:I1393"/>
    <mergeCell ref="A1391:I1391"/>
    <mergeCell ref="F1371:G1371"/>
    <mergeCell ref="H1371:I1371"/>
    <mergeCell ref="F1449:G1449"/>
    <mergeCell ref="H1449:I1449"/>
    <mergeCell ref="H1493:I1493"/>
    <mergeCell ref="F1452:G1452"/>
    <mergeCell ref="H1452:I1452"/>
    <mergeCell ref="H1445:I1445"/>
    <mergeCell ref="F1446:G1446"/>
    <mergeCell ref="H1446:I1446"/>
    <mergeCell ref="F1447:G1447"/>
    <mergeCell ref="A1395:I1395"/>
    <mergeCell ref="F1390:G1390"/>
    <mergeCell ref="F1392:G1392"/>
    <mergeCell ref="F1393:G1393"/>
    <mergeCell ref="H1390:I1390"/>
    <mergeCell ref="H1392:I1392"/>
    <mergeCell ref="H1372:I1372"/>
    <mergeCell ref="H1373:I1373"/>
    <mergeCell ref="H1374:I1374"/>
    <mergeCell ref="F1375:G1375"/>
    <mergeCell ref="F1377:G1377"/>
    <mergeCell ref="H1375:I1375"/>
    <mergeCell ref="A1442:I1442"/>
    <mergeCell ref="F1466:G1466"/>
    <mergeCell ref="H1466:I1466"/>
    <mergeCell ref="F1457:G1457"/>
    <mergeCell ref="H1457:I1457"/>
    <mergeCell ref="F1461:G1461"/>
    <mergeCell ref="H1461:I1461"/>
    <mergeCell ref="F1469:G1469"/>
    <mergeCell ref="F1470:G1470"/>
    <mergeCell ref="F1471:G1471"/>
    <mergeCell ref="A1440:I1440"/>
    <mergeCell ref="F1441:I1441"/>
    <mergeCell ref="F1448:G1448"/>
    <mergeCell ref="F1453:G1453"/>
    <mergeCell ref="H1453:I1453"/>
    <mergeCell ref="H1488:I1488"/>
    <mergeCell ref="H1489:I1489"/>
    <mergeCell ref="F1465:G1465"/>
    <mergeCell ref="A1468:I1468"/>
    <mergeCell ref="F1476:I1476"/>
    <mergeCell ref="F1477:I1477"/>
    <mergeCell ref="F1478:I1478"/>
    <mergeCell ref="H1480:I1480"/>
    <mergeCell ref="F1480:G1480"/>
    <mergeCell ref="A1479:I1479"/>
    <mergeCell ref="A1460:I1460"/>
    <mergeCell ref="A1464:I1464"/>
    <mergeCell ref="F1481:G1481"/>
    <mergeCell ref="F1482:G1482"/>
    <mergeCell ref="F1485:G1485"/>
    <mergeCell ref="H1481:I1481"/>
    <mergeCell ref="F1450:G1450"/>
    <mergeCell ref="H1450:I1450"/>
    <mergeCell ref="F1451:G1451"/>
    <mergeCell ref="F1467:G1467"/>
    <mergeCell ref="F1401:G1401"/>
    <mergeCell ref="H1401:I1401"/>
    <mergeCell ref="F1402:G1402"/>
    <mergeCell ref="F1203:I1203"/>
    <mergeCell ref="F1204:I1204"/>
    <mergeCell ref="F1171:I1171"/>
    <mergeCell ref="F1172:I1172"/>
    <mergeCell ref="F1173:I1173"/>
    <mergeCell ref="F1174:I1174"/>
    <mergeCell ref="F1175:I1175"/>
    <mergeCell ref="F1176:I1176"/>
    <mergeCell ref="F1177:I1177"/>
    <mergeCell ref="F1178:I1178"/>
    <mergeCell ref="F1352:G1352"/>
    <mergeCell ref="F1189:I1189"/>
    <mergeCell ref="F1190:I1190"/>
    <mergeCell ref="F1191:I1191"/>
    <mergeCell ref="F1192:I1192"/>
    <mergeCell ref="F1193:I1193"/>
    <mergeCell ref="F1194:I1194"/>
    <mergeCell ref="F1195:I1195"/>
    <mergeCell ref="F1196:I1196"/>
    <mergeCell ref="F1197:I1197"/>
    <mergeCell ref="F1198:I1198"/>
    <mergeCell ref="F1199:I1199"/>
    <mergeCell ref="F1200:I1200"/>
    <mergeCell ref="F1364:G1364"/>
    <mergeCell ref="F1242:I1242"/>
    <mergeCell ref="F1243:I1243"/>
    <mergeCell ref="F1244:I1244"/>
    <mergeCell ref="F1245:I1245"/>
    <mergeCell ref="F1246:I1246"/>
    <mergeCell ref="H1451:I1451"/>
    <mergeCell ref="F1419:G1419"/>
    <mergeCell ref="H1419:I1419"/>
    <mergeCell ref="F1421:G1421"/>
    <mergeCell ref="H1421:I1421"/>
    <mergeCell ref="F1423:G1423"/>
    <mergeCell ref="H1423:I1423"/>
    <mergeCell ref="F1424:G1424"/>
    <mergeCell ref="H1424:I1424"/>
    <mergeCell ref="F1427:G1427"/>
    <mergeCell ref="F1437:G1437"/>
    <mergeCell ref="H1437:I1437"/>
    <mergeCell ref="F1411:G1411"/>
    <mergeCell ref="H1411:I1411"/>
    <mergeCell ref="F1412:G1412"/>
    <mergeCell ref="H1412:I1412"/>
    <mergeCell ref="F1444:G1444"/>
    <mergeCell ref="H1444:I1444"/>
    <mergeCell ref="F1438:G1438"/>
    <mergeCell ref="H1438:I1438"/>
    <mergeCell ref="F1439:G1439"/>
    <mergeCell ref="H1439:I1439"/>
    <mergeCell ref="F1443:G1443"/>
    <mergeCell ref="H1443:I1443"/>
    <mergeCell ref="F1445:G1445"/>
    <mergeCell ref="H1447:I1447"/>
    <mergeCell ref="H1414:I1414"/>
    <mergeCell ref="F1415:G1415"/>
    <mergeCell ref="H1415:I1415"/>
    <mergeCell ref="H1448:I1448"/>
    <mergeCell ref="H1416:I1416"/>
    <mergeCell ref="F1417:G1417"/>
    <mergeCell ref="F1019:G1019"/>
    <mergeCell ref="H977:I977"/>
    <mergeCell ref="F1179:I1179"/>
    <mergeCell ref="F1180:I1180"/>
    <mergeCell ref="F1181:I1181"/>
    <mergeCell ref="F1182:I1182"/>
    <mergeCell ref="F1183:I1183"/>
    <mergeCell ref="F929:G929"/>
    <mergeCell ref="H987:I987"/>
    <mergeCell ref="F1141:I1141"/>
    <mergeCell ref="F1012:G1012"/>
    <mergeCell ref="F1013:G1013"/>
    <mergeCell ref="F970:G970"/>
    <mergeCell ref="H970:I970"/>
    <mergeCell ref="F989:G989"/>
    <mergeCell ref="H989:I989"/>
    <mergeCell ref="F990:G990"/>
    <mergeCell ref="H990:I990"/>
    <mergeCell ref="F971:G971"/>
    <mergeCell ref="H971:I971"/>
    <mergeCell ref="F972:G972"/>
    <mergeCell ref="F973:G973"/>
    <mergeCell ref="H973:I973"/>
    <mergeCell ref="F974:G974"/>
    <mergeCell ref="F1165:I1165"/>
    <mergeCell ref="F1166:I1166"/>
    <mergeCell ref="F1167:I1167"/>
    <mergeCell ref="F1168:I1168"/>
    <mergeCell ref="F1169:I1169"/>
    <mergeCell ref="F1170:I1170"/>
    <mergeCell ref="F1158:I1158"/>
    <mergeCell ref="H936:I936"/>
    <mergeCell ref="F616:G616"/>
    <mergeCell ref="H616:I616"/>
    <mergeCell ref="F615:G615"/>
    <mergeCell ref="H615:I615"/>
    <mergeCell ref="H96:I96"/>
    <mergeCell ref="H98:I98"/>
    <mergeCell ref="A103:I103"/>
    <mergeCell ref="H99:I99"/>
    <mergeCell ref="A115:I115"/>
    <mergeCell ref="A119:I119"/>
    <mergeCell ref="A123:I123"/>
    <mergeCell ref="A127:I127"/>
    <mergeCell ref="F610:G610"/>
    <mergeCell ref="H604:I604"/>
    <mergeCell ref="H606:I606"/>
    <mergeCell ref="H607:I607"/>
    <mergeCell ref="H610:I610"/>
    <mergeCell ref="F596:G596"/>
    <mergeCell ref="H596:I596"/>
    <mergeCell ref="F598:G598"/>
    <mergeCell ref="H598:I598"/>
    <mergeCell ref="F600:G600"/>
    <mergeCell ref="H600:I600"/>
    <mergeCell ref="F601:G601"/>
    <mergeCell ref="H601:I601"/>
    <mergeCell ref="F599:G599"/>
    <mergeCell ref="H599:I599"/>
    <mergeCell ref="F592:G592"/>
    <mergeCell ref="H592:I592"/>
    <mergeCell ref="F593:G593"/>
    <mergeCell ref="F116:I116"/>
    <mergeCell ref="F525:J525"/>
    <mergeCell ref="H593:I593"/>
    <mergeCell ref="F539:J539"/>
    <mergeCell ref="F594:G594"/>
    <mergeCell ref="H594:I594"/>
    <mergeCell ref="F595:G595"/>
    <mergeCell ref="H595:I595"/>
    <mergeCell ref="H605:I605"/>
    <mergeCell ref="F608:G608"/>
    <mergeCell ref="H608:I608"/>
    <mergeCell ref="F580:G580"/>
    <mergeCell ref="F587:G587"/>
    <mergeCell ref="F588:G588"/>
    <mergeCell ref="F589:G589"/>
    <mergeCell ref="H581:I581"/>
    <mergeCell ref="H582:I582"/>
    <mergeCell ref="H586:I586"/>
    <mergeCell ref="H587:I587"/>
    <mergeCell ref="H588:I588"/>
    <mergeCell ref="H589:I589"/>
    <mergeCell ref="F581:G581"/>
    <mergeCell ref="F582:G582"/>
    <mergeCell ref="F586:G586"/>
    <mergeCell ref="H580:I580"/>
    <mergeCell ref="F607:G607"/>
    <mergeCell ref="F585:G585"/>
    <mergeCell ref="H585:I585"/>
    <mergeCell ref="F579:G579"/>
    <mergeCell ref="H579:I579"/>
    <mergeCell ref="F583:G583"/>
    <mergeCell ref="F572:J572"/>
    <mergeCell ref="F573:J573"/>
    <mergeCell ref="F555:J555"/>
    <mergeCell ref="B567:C567"/>
    <mergeCell ref="B568:C568"/>
    <mergeCell ref="B569:C569"/>
    <mergeCell ref="B570:C570"/>
    <mergeCell ref="F559:J559"/>
    <mergeCell ref="F560:J560"/>
    <mergeCell ref="F561:J561"/>
    <mergeCell ref="F562:J562"/>
    <mergeCell ref="F563:J563"/>
    <mergeCell ref="F564:J564"/>
    <mergeCell ref="F565:J565"/>
    <mergeCell ref="F566:J566"/>
    <mergeCell ref="F567:J567"/>
    <mergeCell ref="F568:J568"/>
    <mergeCell ref="F569:J569"/>
    <mergeCell ref="F570:J570"/>
    <mergeCell ref="F571:J571"/>
    <mergeCell ref="F516:J516"/>
    <mergeCell ref="F517:J517"/>
    <mergeCell ref="F456:J456"/>
    <mergeCell ref="F457:J457"/>
    <mergeCell ref="B563:C563"/>
    <mergeCell ref="B564:C564"/>
    <mergeCell ref="B565:C565"/>
    <mergeCell ref="B566:C566"/>
    <mergeCell ref="F537:J537"/>
    <mergeCell ref="F538:J538"/>
    <mergeCell ref="F550:J550"/>
    <mergeCell ref="F551:J551"/>
    <mergeCell ref="F552:J552"/>
    <mergeCell ref="F548:J548"/>
    <mergeCell ref="F549:J549"/>
    <mergeCell ref="B550:C550"/>
    <mergeCell ref="B549:C549"/>
    <mergeCell ref="B535:C535"/>
    <mergeCell ref="F493:J493"/>
    <mergeCell ref="F495:J495"/>
    <mergeCell ref="F496:J496"/>
    <mergeCell ref="F497:J497"/>
    <mergeCell ref="F482:J482"/>
    <mergeCell ref="F483:J483"/>
    <mergeCell ref="F540:J540"/>
    <mergeCell ref="F541:J541"/>
    <mergeCell ref="F542:J542"/>
    <mergeCell ref="F543:J543"/>
    <mergeCell ref="F544:J544"/>
    <mergeCell ref="F545:J545"/>
    <mergeCell ref="F546:J546"/>
    <mergeCell ref="F547:J547"/>
    <mergeCell ref="F344:J344"/>
    <mergeCell ref="F345:J345"/>
    <mergeCell ref="F346:J346"/>
    <mergeCell ref="F347:J347"/>
    <mergeCell ref="F348:J348"/>
    <mergeCell ref="F349:J349"/>
    <mergeCell ref="F350:J350"/>
    <mergeCell ref="F503:J503"/>
    <mergeCell ref="F504:J504"/>
    <mergeCell ref="F505:J505"/>
    <mergeCell ref="F506:J506"/>
    <mergeCell ref="F507:J507"/>
    <mergeCell ref="F508:J508"/>
    <mergeCell ref="F509:J509"/>
    <mergeCell ref="F556:J556"/>
    <mergeCell ref="F498:J498"/>
    <mergeCell ref="F499:J499"/>
    <mergeCell ref="F500:J500"/>
    <mergeCell ref="F510:J510"/>
    <mergeCell ref="F430:J430"/>
    <mergeCell ref="F501:J501"/>
    <mergeCell ref="F502:J502"/>
    <mergeCell ref="F485:J485"/>
    <mergeCell ref="F486:J486"/>
    <mergeCell ref="F487:J487"/>
    <mergeCell ref="F488:J488"/>
    <mergeCell ref="F489:J489"/>
    <mergeCell ref="F490:J490"/>
    <mergeCell ref="F491:J491"/>
    <mergeCell ref="F492:J492"/>
    <mergeCell ref="F514:J514"/>
    <mergeCell ref="F515:J515"/>
    <mergeCell ref="F390:J390"/>
    <mergeCell ref="F391:J391"/>
    <mergeCell ref="F428:J428"/>
    <mergeCell ref="F429:J429"/>
    <mergeCell ref="F431:J431"/>
    <mergeCell ref="F494:J494"/>
    <mergeCell ref="F467:J467"/>
    <mergeCell ref="F468:J468"/>
    <mergeCell ref="F469:J469"/>
    <mergeCell ref="F470:J470"/>
    <mergeCell ref="F471:J471"/>
    <mergeCell ref="F472:J472"/>
    <mergeCell ref="F473:J473"/>
    <mergeCell ref="F474:J474"/>
    <mergeCell ref="F475:J475"/>
    <mergeCell ref="F476:J476"/>
    <mergeCell ref="F477:J477"/>
    <mergeCell ref="F478:J478"/>
    <mergeCell ref="F479:J479"/>
    <mergeCell ref="F480:J480"/>
    <mergeCell ref="F481:J481"/>
    <mergeCell ref="F417:J417"/>
    <mergeCell ref="F445:J445"/>
    <mergeCell ref="F446:J446"/>
    <mergeCell ref="F447:J447"/>
    <mergeCell ref="F448:J448"/>
    <mergeCell ref="F449:J449"/>
    <mergeCell ref="F398:J398"/>
    <mergeCell ref="F399:J399"/>
    <mergeCell ref="F452:J452"/>
    <mergeCell ref="F453:J453"/>
    <mergeCell ref="F454:J454"/>
    <mergeCell ref="F389:J389"/>
    <mergeCell ref="F341:J341"/>
    <mergeCell ref="F351:J351"/>
    <mergeCell ref="F352:J352"/>
    <mergeCell ref="F353:J353"/>
    <mergeCell ref="F354:J354"/>
    <mergeCell ref="F355:J355"/>
    <mergeCell ref="F356:J356"/>
    <mergeCell ref="F458:J458"/>
    <mergeCell ref="F459:J459"/>
    <mergeCell ref="F460:J460"/>
    <mergeCell ref="F461:J461"/>
    <mergeCell ref="F462:J462"/>
    <mergeCell ref="F463:J463"/>
    <mergeCell ref="F464:J464"/>
    <mergeCell ref="F465:J465"/>
    <mergeCell ref="F466:J466"/>
    <mergeCell ref="F402:J402"/>
    <mergeCell ref="F403:J403"/>
    <mergeCell ref="F404:J404"/>
    <mergeCell ref="F405:J405"/>
    <mergeCell ref="F406:J406"/>
    <mergeCell ref="F407:J407"/>
    <mergeCell ref="F408:J408"/>
    <mergeCell ref="F409:J409"/>
    <mergeCell ref="F410:J410"/>
    <mergeCell ref="F411:J411"/>
    <mergeCell ref="F412:J412"/>
    <mergeCell ref="F413:J413"/>
    <mergeCell ref="F414:J414"/>
    <mergeCell ref="F415:J415"/>
    <mergeCell ref="F416:J416"/>
    <mergeCell ref="A1:J1"/>
    <mergeCell ref="A2:J2"/>
    <mergeCell ref="A3:J3"/>
    <mergeCell ref="F381:J381"/>
    <mergeCell ref="F382:J382"/>
    <mergeCell ref="F383:J383"/>
    <mergeCell ref="F384:J384"/>
    <mergeCell ref="F387:J387"/>
    <mergeCell ref="F388:J388"/>
    <mergeCell ref="F4:J4"/>
    <mergeCell ref="A9:I9"/>
    <mergeCell ref="A12:I12"/>
    <mergeCell ref="F7:J7"/>
    <mergeCell ref="A95:I95"/>
    <mergeCell ref="F29:J29"/>
    <mergeCell ref="F31:J31"/>
    <mergeCell ref="F32:J32"/>
    <mergeCell ref="A39:I39"/>
    <mergeCell ref="F35:J35"/>
    <mergeCell ref="F38:J38"/>
    <mergeCell ref="A42:I42"/>
    <mergeCell ref="F37:J37"/>
    <mergeCell ref="F41:J41"/>
    <mergeCell ref="A86:J86"/>
    <mergeCell ref="D87:J87"/>
    <mergeCell ref="A62:I62"/>
    <mergeCell ref="A128:J128"/>
    <mergeCell ref="F375:J375"/>
    <mergeCell ref="F376:J376"/>
    <mergeCell ref="F28:J28"/>
    <mergeCell ref="F26:J26"/>
    <mergeCell ref="F11:J11"/>
    <mergeCell ref="F8:J8"/>
    <mergeCell ref="A15:I15"/>
    <mergeCell ref="F10:J10"/>
    <mergeCell ref="A27:I27"/>
    <mergeCell ref="F16:J16"/>
    <mergeCell ref="A30:I30"/>
    <mergeCell ref="F25:J25"/>
    <mergeCell ref="F33:J33"/>
    <mergeCell ref="F71:G71"/>
    <mergeCell ref="F332:J332"/>
    <mergeCell ref="F333:J333"/>
    <mergeCell ref="F334:J334"/>
    <mergeCell ref="F335:J335"/>
    <mergeCell ref="F336:J336"/>
    <mergeCell ref="F337:J337"/>
    <mergeCell ref="F338:J338"/>
    <mergeCell ref="F339:J339"/>
    <mergeCell ref="F340:J340"/>
    <mergeCell ref="F369:J369"/>
    <mergeCell ref="F370:J370"/>
    <mergeCell ref="F371:J371"/>
    <mergeCell ref="F372:J372"/>
    <mergeCell ref="F373:J373"/>
    <mergeCell ref="F374:J374"/>
    <mergeCell ref="F342:J342"/>
    <mergeCell ref="F343:J343"/>
    <mergeCell ref="D129:J129"/>
    <mergeCell ref="A57:I57"/>
    <mergeCell ref="A65:I65"/>
    <mergeCell ref="A73:I73"/>
    <mergeCell ref="F60:G60"/>
    <mergeCell ref="A45:I45"/>
    <mergeCell ref="F40:J40"/>
    <mergeCell ref="A48:I48"/>
    <mergeCell ref="A36:I36"/>
    <mergeCell ref="A90:I90"/>
    <mergeCell ref="A85:I85"/>
    <mergeCell ref="F121:I121"/>
    <mergeCell ref="F122:I122"/>
    <mergeCell ref="A100:I100"/>
    <mergeCell ref="F88:G88"/>
    <mergeCell ref="H88:I88"/>
    <mergeCell ref="F89:G89"/>
    <mergeCell ref="H89:I89"/>
    <mergeCell ref="H97:I97"/>
    <mergeCell ref="H101:I101"/>
    <mergeCell ref="F61:G61"/>
    <mergeCell ref="F67:G67"/>
    <mergeCell ref="F53:G53"/>
    <mergeCell ref="H53:I53"/>
    <mergeCell ref="A54:I54"/>
    <mergeCell ref="F55:G55"/>
    <mergeCell ref="F56:G56"/>
    <mergeCell ref="F66:G66"/>
    <mergeCell ref="D59:J59"/>
    <mergeCell ref="F69:G69"/>
    <mergeCell ref="F70:G70"/>
    <mergeCell ref="F72:I72"/>
    <mergeCell ref="A180:I180"/>
    <mergeCell ref="F175:I175"/>
    <mergeCell ref="F177:G177"/>
    <mergeCell ref="F178:G178"/>
    <mergeCell ref="F179:G179"/>
    <mergeCell ref="F620:G620"/>
    <mergeCell ref="F622:G622"/>
    <mergeCell ref="H620:I620"/>
    <mergeCell ref="H622:I622"/>
    <mergeCell ref="F377:J377"/>
    <mergeCell ref="F378:J378"/>
    <mergeCell ref="F379:J379"/>
    <mergeCell ref="F380:J380"/>
    <mergeCell ref="F365:J365"/>
    <mergeCell ref="F366:J366"/>
    <mergeCell ref="F367:J367"/>
    <mergeCell ref="F368:J368"/>
    <mergeCell ref="F440:J440"/>
    <mergeCell ref="F418:J418"/>
    <mergeCell ref="F419:J419"/>
    <mergeCell ref="F420:J420"/>
    <mergeCell ref="F421:J421"/>
    <mergeCell ref="F422:J422"/>
    <mergeCell ref="F423:J423"/>
    <mergeCell ref="F441:J441"/>
    <mergeCell ref="F442:J442"/>
    <mergeCell ref="F443:J443"/>
    <mergeCell ref="F401:J401"/>
    <mergeCell ref="F400:J400"/>
    <mergeCell ref="F444:J444"/>
    <mergeCell ref="F450:J450"/>
    <mergeCell ref="F451:J451"/>
    <mergeCell ref="A669:I669"/>
    <mergeCell ref="A664:I664"/>
    <mergeCell ref="A661:I661"/>
    <mergeCell ref="A636:I636"/>
    <mergeCell ref="F667:I667"/>
    <mergeCell ref="F668:I668"/>
    <mergeCell ref="F672:G672"/>
    <mergeCell ref="F673:G673"/>
    <mergeCell ref="F681:I681"/>
    <mergeCell ref="F684:I684"/>
    <mergeCell ref="F172:I172"/>
    <mergeCell ref="A176:I176"/>
    <mergeCell ref="F171:I171"/>
    <mergeCell ref="F200:I200"/>
    <mergeCell ref="F201:I201"/>
    <mergeCell ref="F203:I203"/>
    <mergeCell ref="A269:I269"/>
    <mergeCell ref="F650:I650"/>
    <mergeCell ref="F651:I651"/>
    <mergeCell ref="F652:I652"/>
    <mergeCell ref="F630:I630"/>
    <mergeCell ref="F659:I659"/>
    <mergeCell ref="F641:I641"/>
    <mergeCell ref="F642:I642"/>
    <mergeCell ref="F427:J427"/>
    <mergeCell ref="F432:J432"/>
    <mergeCell ref="F437:J437"/>
    <mergeCell ref="F438:J438"/>
    <mergeCell ref="F439:J439"/>
    <mergeCell ref="F357:J357"/>
    <mergeCell ref="F424:J424"/>
    <mergeCell ref="F425:J425"/>
    <mergeCell ref="A713:I713"/>
    <mergeCell ref="F707:G707"/>
    <mergeCell ref="H707:I707"/>
    <mergeCell ref="F702:I702"/>
    <mergeCell ref="F697:I697"/>
    <mergeCell ref="F698:I698"/>
    <mergeCell ref="F699:I699"/>
    <mergeCell ref="F700:I700"/>
    <mergeCell ref="F703:I703"/>
    <mergeCell ref="F710:I710"/>
    <mergeCell ref="F711:I711"/>
    <mergeCell ref="F757:I757"/>
    <mergeCell ref="F735:I735"/>
    <mergeCell ref="F736:I736"/>
    <mergeCell ref="F737:I737"/>
    <mergeCell ref="F726:I726"/>
    <mergeCell ref="F727:I727"/>
    <mergeCell ref="F728:I728"/>
    <mergeCell ref="F729:I729"/>
    <mergeCell ref="F730:I730"/>
    <mergeCell ref="F731:I731"/>
    <mergeCell ref="F732:I732"/>
    <mergeCell ref="F733:I733"/>
    <mergeCell ref="F734:I734"/>
    <mergeCell ref="F724:I724"/>
    <mergeCell ref="F725:I725"/>
    <mergeCell ref="F738:I738"/>
    <mergeCell ref="F739:I739"/>
    <mergeCell ref="F740:I740"/>
    <mergeCell ref="F741:I741"/>
    <mergeCell ref="F742:I742"/>
    <mergeCell ref="F743:I743"/>
    <mergeCell ref="F804:G804"/>
    <mergeCell ref="F805:G805"/>
    <mergeCell ref="F806:G806"/>
    <mergeCell ref="F808:G808"/>
    <mergeCell ref="F809:G809"/>
    <mergeCell ref="F810:G810"/>
    <mergeCell ref="F811:G811"/>
    <mergeCell ref="F812:G812"/>
    <mergeCell ref="F831:G831"/>
    <mergeCell ref="F832:G832"/>
    <mergeCell ref="F833:G833"/>
    <mergeCell ref="F834:G834"/>
    <mergeCell ref="F835:G835"/>
    <mergeCell ref="F837:G837"/>
    <mergeCell ref="F838:G838"/>
    <mergeCell ref="F822:G822"/>
    <mergeCell ref="F823:G823"/>
    <mergeCell ref="F824:G824"/>
    <mergeCell ref="F825:G825"/>
    <mergeCell ref="F836:G836"/>
    <mergeCell ref="H976:I976"/>
    <mergeCell ref="F977:G977"/>
    <mergeCell ref="H929:I929"/>
    <mergeCell ref="F932:G932"/>
    <mergeCell ref="H932:I932"/>
    <mergeCell ref="F934:G934"/>
    <mergeCell ref="H934:I934"/>
    <mergeCell ref="F936:G936"/>
    <mergeCell ref="F968:G968"/>
    <mergeCell ref="H968:I968"/>
    <mergeCell ref="F969:G969"/>
    <mergeCell ref="H969:I969"/>
    <mergeCell ref="F986:G986"/>
    <mergeCell ref="H986:I986"/>
    <mergeCell ref="F992:G992"/>
    <mergeCell ref="H992:I992"/>
    <mergeCell ref="F993:G993"/>
    <mergeCell ref="H993:I993"/>
    <mergeCell ref="H942:I942"/>
    <mergeCell ref="H943:I943"/>
    <mergeCell ref="H941:I941"/>
    <mergeCell ref="H948:I948"/>
    <mergeCell ref="H949:I949"/>
    <mergeCell ref="A951:I951"/>
    <mergeCell ref="H946:I946"/>
    <mergeCell ref="F942:G942"/>
    <mergeCell ref="F943:G943"/>
    <mergeCell ref="F944:G944"/>
    <mergeCell ref="F945:G945"/>
    <mergeCell ref="F946:G946"/>
    <mergeCell ref="H1002:I1002"/>
    <mergeCell ref="F991:G991"/>
    <mergeCell ref="F995:G995"/>
    <mergeCell ref="H991:I991"/>
    <mergeCell ref="H995:I995"/>
    <mergeCell ref="F999:G999"/>
    <mergeCell ref="H999:I999"/>
    <mergeCell ref="F1003:G1003"/>
    <mergeCell ref="F845:G845"/>
    <mergeCell ref="F847:G847"/>
    <mergeCell ref="F848:G848"/>
    <mergeCell ref="F858:G858"/>
    <mergeCell ref="F859:G859"/>
    <mergeCell ref="F938:G938"/>
    <mergeCell ref="H938:I938"/>
    <mergeCell ref="F931:G931"/>
    <mergeCell ref="H931:I931"/>
    <mergeCell ref="H865:I865"/>
    <mergeCell ref="H870:I870"/>
    <mergeCell ref="F871:G871"/>
    <mergeCell ref="H871:I871"/>
    <mergeCell ref="F874:G874"/>
    <mergeCell ref="H874:I874"/>
    <mergeCell ref="F987:G987"/>
    <mergeCell ref="H988:I988"/>
    <mergeCell ref="H972:I972"/>
    <mergeCell ref="H866:I866"/>
    <mergeCell ref="H868:I868"/>
    <mergeCell ref="H974:I974"/>
    <mergeCell ref="F975:G975"/>
    <mergeCell ref="H975:I975"/>
    <mergeCell ref="F976:G976"/>
    <mergeCell ref="F747:I747"/>
    <mergeCell ref="F748:I748"/>
    <mergeCell ref="F767:I767"/>
    <mergeCell ref="F766:I766"/>
    <mergeCell ref="F765:I765"/>
    <mergeCell ref="F749:I749"/>
    <mergeCell ref="F750:I750"/>
    <mergeCell ref="F751:I751"/>
    <mergeCell ref="F752:I752"/>
    <mergeCell ref="F753:I753"/>
    <mergeCell ref="F754:I754"/>
    <mergeCell ref="F755:I755"/>
    <mergeCell ref="F756:I756"/>
    <mergeCell ref="F787:G787"/>
    <mergeCell ref="F788:G788"/>
    <mergeCell ref="F789:G789"/>
    <mergeCell ref="F791:G791"/>
    <mergeCell ref="F771:I771"/>
    <mergeCell ref="F770:I770"/>
    <mergeCell ref="F769:I769"/>
    <mergeCell ref="F775:I775"/>
    <mergeCell ref="F776:I776"/>
    <mergeCell ref="A780:I780"/>
    <mergeCell ref="F783:I783"/>
    <mergeCell ref="H798:I798"/>
    <mergeCell ref="H799:I799"/>
    <mergeCell ref="H802:I802"/>
    <mergeCell ref="H803:I803"/>
    <mergeCell ref="H804:I804"/>
    <mergeCell ref="H805:I805"/>
    <mergeCell ref="H806:I806"/>
    <mergeCell ref="H808:I808"/>
    <mergeCell ref="F798:G798"/>
    <mergeCell ref="F799:G799"/>
    <mergeCell ref="F801:G801"/>
    <mergeCell ref="F802:G802"/>
    <mergeCell ref="F803:G803"/>
    <mergeCell ref="H787:I787"/>
    <mergeCell ref="H788:I788"/>
    <mergeCell ref="H789:I789"/>
    <mergeCell ref="H791:I791"/>
    <mergeCell ref="H792:I792"/>
    <mergeCell ref="H793:I793"/>
    <mergeCell ref="H794:I794"/>
    <mergeCell ref="H795:I795"/>
    <mergeCell ref="H796:I796"/>
    <mergeCell ref="F795:G795"/>
    <mergeCell ref="F796:G796"/>
    <mergeCell ref="F800:G800"/>
    <mergeCell ref="H800:I800"/>
    <mergeCell ref="F792:G792"/>
    <mergeCell ref="F793:G793"/>
    <mergeCell ref="F794:G794"/>
    <mergeCell ref="F790:G790"/>
    <mergeCell ref="H790:I790"/>
    <mergeCell ref="H801:I801"/>
    <mergeCell ref="H814:I814"/>
    <mergeCell ref="H815:I815"/>
    <mergeCell ref="H816:I816"/>
    <mergeCell ref="H817:I817"/>
    <mergeCell ref="H837:I837"/>
    <mergeCell ref="F1011:G1011"/>
    <mergeCell ref="F1000:G1000"/>
    <mergeCell ref="H1000:I1000"/>
    <mergeCell ref="F1001:G1001"/>
    <mergeCell ref="H1001:I1001"/>
    <mergeCell ref="F1004:G1004"/>
    <mergeCell ref="H1004:I1004"/>
    <mergeCell ref="F1016:G1016"/>
    <mergeCell ref="F1017:G1017"/>
    <mergeCell ref="F1010:G1010"/>
    <mergeCell ref="F994:G994"/>
    <mergeCell ref="H994:I994"/>
    <mergeCell ref="F996:G996"/>
    <mergeCell ref="H996:I996"/>
    <mergeCell ref="F997:G997"/>
    <mergeCell ref="H997:I997"/>
    <mergeCell ref="F998:G998"/>
    <mergeCell ref="H998:I998"/>
    <mergeCell ref="F1005:G1005"/>
    <mergeCell ref="H1005:I1005"/>
    <mergeCell ref="H979:I979"/>
    <mergeCell ref="F980:G980"/>
    <mergeCell ref="H980:I980"/>
    <mergeCell ref="F988:G988"/>
    <mergeCell ref="F981:G981"/>
    <mergeCell ref="H981:I981"/>
    <mergeCell ref="F1002:G1002"/>
    <mergeCell ref="H842:I842"/>
    <mergeCell ref="H844:I844"/>
    <mergeCell ref="F866:G866"/>
    <mergeCell ref="F867:G867"/>
    <mergeCell ref="F849:G849"/>
    <mergeCell ref="F850:G850"/>
    <mergeCell ref="F851:G851"/>
    <mergeCell ref="F852:G852"/>
    <mergeCell ref="F854:G854"/>
    <mergeCell ref="F855:G855"/>
    <mergeCell ref="F856:G856"/>
    <mergeCell ref="F857:G857"/>
    <mergeCell ref="F1076:I1076"/>
    <mergeCell ref="F1077:I1077"/>
    <mergeCell ref="H845:I845"/>
    <mergeCell ref="H848:I848"/>
    <mergeCell ref="H849:I849"/>
    <mergeCell ref="H850:I850"/>
    <mergeCell ref="H847:I847"/>
    <mergeCell ref="F1030:G1030"/>
    <mergeCell ref="F1031:G1031"/>
    <mergeCell ref="F1032:G1032"/>
    <mergeCell ref="F1033:G1033"/>
    <mergeCell ref="F1034:G1034"/>
    <mergeCell ref="F1025:G1025"/>
    <mergeCell ref="F1026:G1026"/>
    <mergeCell ref="F1027:G1027"/>
    <mergeCell ref="F1028:G1028"/>
    <mergeCell ref="F1029:G1029"/>
    <mergeCell ref="F1039:G1039"/>
    <mergeCell ref="F1042:G1042"/>
    <mergeCell ref="F1043:G1043"/>
    <mergeCell ref="F919:G919"/>
    <mergeCell ref="H919:I919"/>
    <mergeCell ref="F1088:I1088"/>
    <mergeCell ref="F1089:I1089"/>
    <mergeCell ref="F1046:G1046"/>
    <mergeCell ref="F1035:G1035"/>
    <mergeCell ref="F1036:G1036"/>
    <mergeCell ref="F1037:G1037"/>
    <mergeCell ref="F1040:G1040"/>
    <mergeCell ref="F1041:G1041"/>
    <mergeCell ref="H851:I851"/>
    <mergeCell ref="H852:I852"/>
    <mergeCell ref="H854:I854"/>
    <mergeCell ref="H855:I855"/>
    <mergeCell ref="H856:I856"/>
    <mergeCell ref="H857:I857"/>
    <mergeCell ref="H858:I858"/>
    <mergeCell ref="H879:I879"/>
    <mergeCell ref="H880:I880"/>
    <mergeCell ref="H882:I882"/>
    <mergeCell ref="H883:I883"/>
    <mergeCell ref="H885:I885"/>
    <mergeCell ref="H886:I886"/>
    <mergeCell ref="H875:I875"/>
    <mergeCell ref="H878:I878"/>
    <mergeCell ref="H860:I860"/>
    <mergeCell ref="H861:I861"/>
    <mergeCell ref="H862:I862"/>
    <mergeCell ref="H863:I863"/>
    <mergeCell ref="H867:I867"/>
    <mergeCell ref="F1044:G1044"/>
    <mergeCell ref="F1045:G1045"/>
    <mergeCell ref="F1090:I1090"/>
    <mergeCell ref="F1091:I1091"/>
    <mergeCell ref="F1092:I1092"/>
    <mergeCell ref="F1066:I1066"/>
    <mergeCell ref="F1067:I1067"/>
    <mergeCell ref="F1068:I1068"/>
    <mergeCell ref="F1069:I1069"/>
    <mergeCell ref="F1070:I1070"/>
    <mergeCell ref="F1071:I1071"/>
    <mergeCell ref="F1060:I1060"/>
    <mergeCell ref="F1061:I1061"/>
    <mergeCell ref="F1062:I1062"/>
    <mergeCell ref="F1063:I1063"/>
    <mergeCell ref="F1065:I1065"/>
    <mergeCell ref="F1078:I1078"/>
    <mergeCell ref="F1079:I1079"/>
    <mergeCell ref="F1080:I1080"/>
    <mergeCell ref="F1081:I1081"/>
    <mergeCell ref="F1082:I1082"/>
    <mergeCell ref="F1074:I1074"/>
    <mergeCell ref="F1075:I1075"/>
    <mergeCell ref="F1083:I1083"/>
    <mergeCell ref="F1084:I1084"/>
    <mergeCell ref="F1085:I1085"/>
    <mergeCell ref="F1086:I1086"/>
    <mergeCell ref="F1087:I1087"/>
    <mergeCell ref="F1072:I1072"/>
    <mergeCell ref="F1073:I1073"/>
    <mergeCell ref="F1119:I1119"/>
    <mergeCell ref="F1110:I1110"/>
    <mergeCell ref="F1111:I1111"/>
    <mergeCell ref="F1112:I1112"/>
    <mergeCell ref="F1113:I1113"/>
    <mergeCell ref="F1114:I1114"/>
    <mergeCell ref="F1115:I1115"/>
    <mergeCell ref="F1116:I1116"/>
    <mergeCell ref="F1363:G1363"/>
    <mergeCell ref="H1363:I1363"/>
    <mergeCell ref="F1117:I1117"/>
    <mergeCell ref="F1109:I1109"/>
    <mergeCell ref="F1059:I1059"/>
    <mergeCell ref="H956:I956"/>
    <mergeCell ref="H955:I955"/>
    <mergeCell ref="F1047:G1047"/>
    <mergeCell ref="F1048:G1048"/>
    <mergeCell ref="F1038:G1038"/>
    <mergeCell ref="F1020:G1020"/>
    <mergeCell ref="F1021:G1021"/>
    <mergeCell ref="F1022:G1022"/>
    <mergeCell ref="F1023:G1023"/>
    <mergeCell ref="F1024:G1024"/>
    <mergeCell ref="F1018:G1018"/>
    <mergeCell ref="F982:G982"/>
    <mergeCell ref="H982:I982"/>
    <mergeCell ref="F983:G983"/>
    <mergeCell ref="H983:I983"/>
    <mergeCell ref="F984:G984"/>
    <mergeCell ref="H984:I984"/>
    <mergeCell ref="F985:G985"/>
    <mergeCell ref="H985:I985"/>
    <mergeCell ref="F1365:G1365"/>
    <mergeCell ref="H1365:I1365"/>
    <mergeCell ref="F1139:I1139"/>
    <mergeCell ref="F1367:G1367"/>
    <mergeCell ref="H1367:I1367"/>
    <mergeCell ref="F1368:G1368"/>
    <mergeCell ref="H1368:I1368"/>
    <mergeCell ref="F1369:G1369"/>
    <mergeCell ref="H1369:I1369"/>
    <mergeCell ref="F1370:G1370"/>
    <mergeCell ref="H1370:I1370"/>
    <mergeCell ref="F1326:I1326"/>
    <mergeCell ref="F1327:I1327"/>
    <mergeCell ref="F1328:I1328"/>
    <mergeCell ref="F1329:I1329"/>
    <mergeCell ref="F1330:I1330"/>
    <mergeCell ref="F1337:I1337"/>
    <mergeCell ref="F1338:I1338"/>
    <mergeCell ref="F1336:I1336"/>
    <mergeCell ref="A1342:I1342"/>
    <mergeCell ref="F1334:I1334"/>
    <mergeCell ref="F1311:I1311"/>
    <mergeCell ref="F1312:I1312"/>
    <mergeCell ref="F1184:I1184"/>
    <mergeCell ref="F1185:I1185"/>
    <mergeCell ref="F1148:I1148"/>
    <mergeCell ref="F1149:I1149"/>
    <mergeCell ref="F1150:I1150"/>
    <mergeCell ref="F1151:I1151"/>
    <mergeCell ref="F1152:I1152"/>
    <mergeCell ref="F1349:G1349"/>
    <mergeCell ref="F1257:I1257"/>
    <mergeCell ref="F392:J392"/>
    <mergeCell ref="F393:J393"/>
    <mergeCell ref="F394:J394"/>
    <mergeCell ref="F395:J395"/>
    <mergeCell ref="F396:J396"/>
    <mergeCell ref="F397:J397"/>
    <mergeCell ref="H840:I840"/>
    <mergeCell ref="H827:I827"/>
    <mergeCell ref="H828:I828"/>
    <mergeCell ref="H829:I829"/>
    <mergeCell ref="H830:I830"/>
    <mergeCell ref="H831:I831"/>
    <mergeCell ref="H832:I832"/>
    <mergeCell ref="H833:I833"/>
    <mergeCell ref="H834:I834"/>
    <mergeCell ref="H835:I835"/>
    <mergeCell ref="H818:I818"/>
    <mergeCell ref="H819:I819"/>
    <mergeCell ref="H820:I820"/>
    <mergeCell ref="H821:I821"/>
    <mergeCell ref="H822:I822"/>
    <mergeCell ref="H823:I823"/>
    <mergeCell ref="H824:I824"/>
    <mergeCell ref="H825:I825"/>
    <mergeCell ref="H826:I826"/>
    <mergeCell ref="H836:I836"/>
    <mergeCell ref="H839:I839"/>
    <mergeCell ref="H809:I809"/>
    <mergeCell ref="H810:I810"/>
    <mergeCell ref="H811:I811"/>
    <mergeCell ref="H812:I812"/>
    <mergeCell ref="H813:I813"/>
    <mergeCell ref="F1104:I1104"/>
    <mergeCell ref="F1105:I1105"/>
    <mergeCell ref="F1106:I1106"/>
    <mergeCell ref="F1107:I1107"/>
    <mergeCell ref="F1108:I1108"/>
    <mergeCell ref="F436:J436"/>
    <mergeCell ref="F1093:I1093"/>
    <mergeCell ref="F1094:I1094"/>
    <mergeCell ref="F426:J426"/>
    <mergeCell ref="H859:I859"/>
    <mergeCell ref="H838:I838"/>
    <mergeCell ref="H841:I841"/>
    <mergeCell ref="A1511:I1511"/>
    <mergeCell ref="F1502:G1502"/>
    <mergeCell ref="H1502:I1502"/>
    <mergeCell ref="F1484:G1484"/>
    <mergeCell ref="H1484:I1484"/>
    <mergeCell ref="F1399:G1399"/>
    <mergeCell ref="F1325:I1325"/>
    <mergeCell ref="F1317:I1317"/>
    <mergeCell ref="F1318:I1318"/>
    <mergeCell ref="F1319:I1319"/>
    <mergeCell ref="F1321:I1321"/>
    <mergeCell ref="F1118:I1118"/>
    <mergeCell ref="F1101:I1101"/>
    <mergeCell ref="F433:J433"/>
    <mergeCell ref="F434:J434"/>
    <mergeCell ref="F435:J435"/>
    <mergeCell ref="F513:J513"/>
    <mergeCell ref="F1332:I1332"/>
    <mergeCell ref="F455:J455"/>
    <mergeCell ref="H1364:I1364"/>
    <mergeCell ref="F1333:I1333"/>
    <mergeCell ref="F1322:I1322"/>
    <mergeCell ref="F1323:I1323"/>
    <mergeCell ref="F1310:I1310"/>
    <mergeCell ref="H864:I864"/>
    <mergeCell ref="F864:G864"/>
    <mergeCell ref="F584:G584"/>
    <mergeCell ref="H584:I584"/>
    <mergeCell ref="F1095:I1095"/>
    <mergeCell ref="F1096:I1096"/>
    <mergeCell ref="F1097:I1097"/>
    <mergeCell ref="F1098:I1098"/>
    <mergeCell ref="F1099:I1099"/>
    <mergeCell ref="F1100:I1100"/>
    <mergeCell ref="F19:J19"/>
    <mergeCell ref="F20:J20"/>
    <mergeCell ref="A21:I21"/>
    <mergeCell ref="F22:J22"/>
    <mergeCell ref="F23:J23"/>
    <mergeCell ref="A24:I24"/>
    <mergeCell ref="F708:G708"/>
    <mergeCell ref="H708:I708"/>
    <mergeCell ref="F81:H81"/>
    <mergeCell ref="F82:H82"/>
    <mergeCell ref="A79:I79"/>
    <mergeCell ref="F74:I74"/>
    <mergeCell ref="F75:I75"/>
    <mergeCell ref="F76:I76"/>
    <mergeCell ref="F511:J511"/>
    <mergeCell ref="F512:J512"/>
    <mergeCell ref="F1102:I1102"/>
    <mergeCell ref="F1103:I1103"/>
  </mergeCells>
  <pageMargins left="0.511811024" right="0.511811024" top="0.78740157499999996" bottom="0.78740157499999996" header="0.31496062000000002" footer="0.31496062000000002"/>
  <pageSetup paperSize="9" scale="4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57"/>
  <sheetViews>
    <sheetView topLeftCell="A124" workbookViewId="0">
      <selection activeCell="I14" sqref="I14"/>
    </sheetView>
  </sheetViews>
  <sheetFormatPr defaultRowHeight="14.4" x14ac:dyDescent="0.3"/>
  <cols>
    <col min="1" max="1" width="17.44140625" style="3" bestFit="1" customWidth="1"/>
    <col min="2" max="2" width="50.44140625" style="9" customWidth="1"/>
    <col min="3" max="3" width="13.109375" style="3" customWidth="1"/>
    <col min="4" max="4" width="12.6640625" style="3" customWidth="1"/>
    <col min="5" max="5" width="14.33203125" style="3" customWidth="1"/>
    <col min="6" max="6" width="10.6640625" style="3" bestFit="1" customWidth="1"/>
    <col min="7" max="7" width="13.88671875" style="3" customWidth="1"/>
  </cols>
  <sheetData>
    <row r="1" spans="1:7" ht="15" thickBot="1" x14ac:dyDescent="0.35">
      <c r="A1" s="469" t="s">
        <v>1260</v>
      </c>
      <c r="B1" s="470"/>
      <c r="C1" s="470"/>
      <c r="D1" s="470"/>
      <c r="E1" s="470"/>
      <c r="F1" s="470"/>
      <c r="G1" s="471"/>
    </row>
    <row r="2" spans="1:7" x14ac:dyDescent="0.3">
      <c r="A2" s="166" t="s">
        <v>1261</v>
      </c>
      <c r="B2" s="167" t="s">
        <v>1262</v>
      </c>
      <c r="C2" s="168" t="s">
        <v>1263</v>
      </c>
      <c r="D2" s="169" t="s">
        <v>1264</v>
      </c>
      <c r="E2" s="168" t="s">
        <v>1265</v>
      </c>
      <c r="F2" s="169" t="s">
        <v>1266</v>
      </c>
      <c r="G2" s="170" t="s">
        <v>1267</v>
      </c>
    </row>
    <row r="3" spans="1:7" x14ac:dyDescent="0.3">
      <c r="A3" s="160">
        <v>8</v>
      </c>
      <c r="B3" s="4" t="s">
        <v>1268</v>
      </c>
      <c r="C3" s="26">
        <v>4.63</v>
      </c>
      <c r="D3" s="25">
        <v>8.75</v>
      </c>
      <c r="E3" s="26">
        <v>89.05</v>
      </c>
      <c r="F3" s="11">
        <f>(12.6*22.32)/8.7</f>
        <v>32.325517241379309</v>
      </c>
      <c r="G3" s="161">
        <f t="shared" ref="G3:G8" si="0">F3*D3</f>
        <v>282.84827586206893</v>
      </c>
    </row>
    <row r="4" spans="1:7" x14ac:dyDescent="0.3">
      <c r="A4" s="160">
        <v>6</v>
      </c>
      <c r="B4" s="4" t="s">
        <v>1269</v>
      </c>
      <c r="C4" s="26">
        <v>7.38</v>
      </c>
      <c r="D4" s="25">
        <v>13.95</v>
      </c>
      <c r="E4" s="26">
        <v>89.05</v>
      </c>
      <c r="F4" s="11">
        <f>(12.6*22.32)/8.7</f>
        <v>32.325517241379309</v>
      </c>
      <c r="G4" s="161">
        <f t="shared" si="0"/>
        <v>450.94096551724135</v>
      </c>
    </row>
    <row r="5" spans="1:7" x14ac:dyDescent="0.3">
      <c r="A5" s="160">
        <v>10</v>
      </c>
      <c r="B5" s="4" t="s">
        <v>1270</v>
      </c>
      <c r="C5" s="26">
        <v>7.38</v>
      </c>
      <c r="D5" s="25">
        <v>13.95</v>
      </c>
      <c r="E5" s="26">
        <v>89.05</v>
      </c>
      <c r="F5" s="12">
        <f>(12.6*56.939)/8.7</f>
        <v>82.463379310344834</v>
      </c>
      <c r="G5" s="161">
        <f t="shared" si="0"/>
        <v>1150.3641413793105</v>
      </c>
    </row>
    <row r="6" spans="1:7" x14ac:dyDescent="0.3">
      <c r="A6" s="160">
        <v>5</v>
      </c>
      <c r="B6" s="4" t="s">
        <v>1271</v>
      </c>
      <c r="C6" s="26">
        <v>4.63</v>
      </c>
      <c r="D6" s="25">
        <v>8.75</v>
      </c>
      <c r="E6" s="26">
        <v>89.05</v>
      </c>
      <c r="F6" s="12">
        <f>(12.6*229.979)/8.7</f>
        <v>333.07303448275866</v>
      </c>
      <c r="G6" s="161">
        <f t="shared" si="0"/>
        <v>2914.3890517241384</v>
      </c>
    </row>
    <row r="7" spans="1:7" x14ac:dyDescent="0.3">
      <c r="A7" s="160">
        <v>32</v>
      </c>
      <c r="B7" s="4" t="s">
        <v>1272</v>
      </c>
      <c r="C7" s="26">
        <v>5.56</v>
      </c>
      <c r="D7" s="25">
        <v>10.51</v>
      </c>
      <c r="E7" s="26">
        <v>89.05</v>
      </c>
      <c r="F7" s="12">
        <f>(12.6*9.37)/8.7</f>
        <v>13.570344827586206</v>
      </c>
      <c r="G7" s="161">
        <f t="shared" si="0"/>
        <v>142.62432413793101</v>
      </c>
    </row>
    <row r="8" spans="1:7" x14ac:dyDescent="0.3">
      <c r="A8" s="160">
        <v>4</v>
      </c>
      <c r="B8" s="4" t="s">
        <v>1273</v>
      </c>
      <c r="C8" s="26">
        <v>7.38</v>
      </c>
      <c r="D8" s="25">
        <v>13.95</v>
      </c>
      <c r="E8" s="26">
        <v>89.05</v>
      </c>
      <c r="F8" s="12">
        <f>(12.6*41.96)/8.7</f>
        <v>60.769655172413799</v>
      </c>
      <c r="G8" s="161">
        <f t="shared" si="0"/>
        <v>847.73668965517243</v>
      </c>
    </row>
    <row r="9" spans="1:7" x14ac:dyDescent="0.3">
      <c r="A9" s="472" t="s">
        <v>982</v>
      </c>
      <c r="B9" s="473"/>
      <c r="C9" s="473"/>
      <c r="D9" s="473"/>
      <c r="E9" s="473"/>
      <c r="F9" s="473"/>
      <c r="G9" s="161">
        <f>SUM(G3:G8)</f>
        <v>5788.9034482758616</v>
      </c>
    </row>
    <row r="10" spans="1:7" x14ac:dyDescent="0.3">
      <c r="A10" s="160" t="s">
        <v>1274</v>
      </c>
      <c r="B10" s="4" t="s">
        <v>1275</v>
      </c>
      <c r="C10" s="26" t="s">
        <v>1276</v>
      </c>
      <c r="D10" s="25" t="s">
        <v>1277</v>
      </c>
      <c r="E10" s="26" t="s">
        <v>1278</v>
      </c>
      <c r="F10" s="467" t="s">
        <v>1279</v>
      </c>
      <c r="G10" s="468"/>
    </row>
    <row r="11" spans="1:7" x14ac:dyDescent="0.3">
      <c r="A11" s="160">
        <v>1221</v>
      </c>
      <c r="B11" s="4" t="s">
        <v>1280</v>
      </c>
      <c r="C11" s="26" t="s">
        <v>131</v>
      </c>
      <c r="D11" s="25">
        <v>0.54</v>
      </c>
      <c r="E11" s="12">
        <f>(12.6*119.53)/8.7</f>
        <v>173.11241379310346</v>
      </c>
      <c r="F11" s="467">
        <f>E11*D11</f>
        <v>93.480703448275875</v>
      </c>
      <c r="G11" s="468"/>
    </row>
    <row r="12" spans="1:7" x14ac:dyDescent="0.3">
      <c r="A12" s="160">
        <v>1218</v>
      </c>
      <c r="B12" s="4" t="s">
        <v>1281</v>
      </c>
      <c r="C12" s="26" t="s">
        <v>1282</v>
      </c>
      <c r="D12" s="25">
        <v>6.96</v>
      </c>
      <c r="E12" s="12">
        <f>(12.6*2.98)/8.7</f>
        <v>4.3158620689655178</v>
      </c>
      <c r="F12" s="467">
        <f t="shared" ref="F12:F28" si="1">E12*D12</f>
        <v>30.038400000000003</v>
      </c>
      <c r="G12" s="468"/>
    </row>
    <row r="13" spans="1:7" x14ac:dyDescent="0.3">
      <c r="A13" s="160">
        <v>1215</v>
      </c>
      <c r="B13" s="4" t="s">
        <v>1283</v>
      </c>
      <c r="C13" s="26" t="s">
        <v>129</v>
      </c>
      <c r="D13" s="25">
        <v>0.39</v>
      </c>
      <c r="E13" s="12">
        <f>(12.6*1817.09)/8.7</f>
        <v>2631.6475862068964</v>
      </c>
      <c r="F13" s="467">
        <f t="shared" si="1"/>
        <v>1026.3425586206897</v>
      </c>
      <c r="G13" s="468"/>
    </row>
    <row r="14" spans="1:7" x14ac:dyDescent="0.3">
      <c r="A14" s="160">
        <v>1695</v>
      </c>
      <c r="B14" s="4" t="s">
        <v>1284</v>
      </c>
      <c r="C14" s="26" t="s">
        <v>814</v>
      </c>
      <c r="D14" s="25">
        <v>7.85</v>
      </c>
      <c r="E14" s="12">
        <f>(12.6*1.0203)/8.7</f>
        <v>1.4776758620689656</v>
      </c>
      <c r="F14" s="467">
        <f t="shared" si="1"/>
        <v>11.59975551724138</v>
      </c>
      <c r="G14" s="468"/>
    </row>
    <row r="15" spans="1:7" x14ac:dyDescent="0.3">
      <c r="A15" s="160">
        <v>1696</v>
      </c>
      <c r="B15" s="4" t="s">
        <v>1285</v>
      </c>
      <c r="C15" s="26" t="s">
        <v>814</v>
      </c>
      <c r="D15" s="25">
        <v>15.7</v>
      </c>
      <c r="E15" s="12">
        <f>(12.6*19.36)/8.7</f>
        <v>28.038620689655172</v>
      </c>
      <c r="F15" s="467">
        <f t="shared" si="1"/>
        <v>440.20634482758618</v>
      </c>
      <c r="G15" s="468"/>
    </row>
    <row r="16" spans="1:7" x14ac:dyDescent="0.3">
      <c r="A16" s="160">
        <v>2497</v>
      </c>
      <c r="B16" s="4" t="s">
        <v>1286</v>
      </c>
      <c r="C16" s="26" t="s">
        <v>126</v>
      </c>
      <c r="D16" s="25">
        <v>74.900000000000006</v>
      </c>
      <c r="E16" s="12">
        <f>(12.6*2.135)/8.7</f>
        <v>3.0920689655172411</v>
      </c>
      <c r="F16" s="467">
        <f t="shared" si="1"/>
        <v>231.59596551724138</v>
      </c>
      <c r="G16" s="468"/>
    </row>
    <row r="17" spans="1:7" x14ac:dyDescent="0.3">
      <c r="A17" s="160">
        <v>2386</v>
      </c>
      <c r="B17" s="4" t="s">
        <v>1287</v>
      </c>
      <c r="C17" s="26" t="s">
        <v>103</v>
      </c>
      <c r="D17" s="25">
        <v>85.36</v>
      </c>
      <c r="E17" s="12">
        <f>(12.6*2.135)/8.7</f>
        <v>3.0920689655172411</v>
      </c>
      <c r="F17" s="467">
        <f t="shared" si="1"/>
        <v>263.93900689655169</v>
      </c>
      <c r="G17" s="468"/>
    </row>
    <row r="18" spans="1:7" x14ac:dyDescent="0.3">
      <c r="A18" s="160">
        <v>102</v>
      </c>
      <c r="B18" s="4" t="s">
        <v>1288</v>
      </c>
      <c r="C18" s="26" t="s">
        <v>131</v>
      </c>
      <c r="D18" s="25">
        <v>6.75</v>
      </c>
      <c r="E18" s="12">
        <f>(12.6*5.68)/8.7</f>
        <v>8.2262068965517248</v>
      </c>
      <c r="F18" s="467">
        <f t="shared" si="1"/>
        <v>55.526896551724143</v>
      </c>
      <c r="G18" s="468"/>
    </row>
    <row r="19" spans="1:7" x14ac:dyDescent="0.3">
      <c r="A19" s="160">
        <v>2448</v>
      </c>
      <c r="B19" s="4" t="s">
        <v>1289</v>
      </c>
      <c r="C19" s="26" t="s">
        <v>129</v>
      </c>
      <c r="D19" s="25">
        <v>4.45</v>
      </c>
      <c r="E19" s="12">
        <f>(12.6*44)/8.7</f>
        <v>63.724137931034484</v>
      </c>
      <c r="F19" s="467">
        <f t="shared" si="1"/>
        <v>283.57241379310346</v>
      </c>
      <c r="G19" s="468"/>
    </row>
    <row r="20" spans="1:7" x14ac:dyDescent="0.3">
      <c r="A20" s="160">
        <v>2437</v>
      </c>
      <c r="B20" s="4" t="s">
        <v>1290</v>
      </c>
      <c r="C20" s="26" t="s">
        <v>1291</v>
      </c>
      <c r="D20" s="25">
        <v>4.28</v>
      </c>
      <c r="E20" s="12">
        <f>(12.6*268.4)/8.7</f>
        <v>388.71724137931034</v>
      </c>
      <c r="F20" s="467">
        <f t="shared" si="1"/>
        <v>1663.7097931034484</v>
      </c>
      <c r="G20" s="468"/>
    </row>
    <row r="21" spans="1:7" x14ac:dyDescent="0.3">
      <c r="A21" s="160">
        <v>1861</v>
      </c>
      <c r="B21" s="4" t="s">
        <v>1292</v>
      </c>
      <c r="C21" s="26" t="s">
        <v>129</v>
      </c>
      <c r="D21" s="25">
        <v>5.99</v>
      </c>
      <c r="E21" s="12">
        <f>(12.6*11.51)/8.7</f>
        <v>16.669655172413794</v>
      </c>
      <c r="F21" s="467">
        <f t="shared" si="1"/>
        <v>99.851234482758628</v>
      </c>
      <c r="G21" s="468"/>
    </row>
    <row r="22" spans="1:7" x14ac:dyDescent="0.3">
      <c r="A22" s="160">
        <v>1964</v>
      </c>
      <c r="B22" s="4" t="s">
        <v>1293</v>
      </c>
      <c r="C22" s="26" t="s">
        <v>319</v>
      </c>
      <c r="D22" s="25">
        <v>2.33</v>
      </c>
      <c r="E22" s="12">
        <f>(12.6*0.93)/8.7</f>
        <v>1.346896551724138</v>
      </c>
      <c r="F22" s="467">
        <f t="shared" si="1"/>
        <v>3.1382689655172418</v>
      </c>
      <c r="G22" s="468"/>
    </row>
    <row r="23" spans="1:7" x14ac:dyDescent="0.3">
      <c r="A23" s="160">
        <v>1968</v>
      </c>
      <c r="B23" s="4" t="s">
        <v>1294</v>
      </c>
      <c r="C23" s="26" t="s">
        <v>319</v>
      </c>
      <c r="D23" s="25">
        <v>2.06</v>
      </c>
      <c r="E23" s="12">
        <f>(12.6*49.51)/8.7</f>
        <v>71.704137931034481</v>
      </c>
      <c r="F23" s="467">
        <f t="shared" si="1"/>
        <v>147.71052413793103</v>
      </c>
      <c r="G23" s="468"/>
    </row>
    <row r="24" spans="1:7" x14ac:dyDescent="0.3">
      <c r="A24" s="160">
        <v>1973</v>
      </c>
      <c r="B24" s="4" t="s">
        <v>1295</v>
      </c>
      <c r="C24" s="26" t="s">
        <v>129</v>
      </c>
      <c r="D24" s="25">
        <v>3.67</v>
      </c>
      <c r="E24" s="12">
        <f>(12.6*11.99)/8.7</f>
        <v>17.3648275862069</v>
      </c>
      <c r="F24" s="467">
        <f t="shared" si="1"/>
        <v>63.728917241379321</v>
      </c>
      <c r="G24" s="468"/>
    </row>
    <row r="25" spans="1:7" x14ac:dyDescent="0.3">
      <c r="A25" s="160">
        <v>2380</v>
      </c>
      <c r="B25" s="4" t="s">
        <v>1296</v>
      </c>
      <c r="C25" s="26" t="s">
        <v>31</v>
      </c>
      <c r="D25" s="25">
        <v>1.23</v>
      </c>
      <c r="E25" s="12">
        <f>(12.6*90.05)/8.7</f>
        <v>130.41724137931035</v>
      </c>
      <c r="F25" s="467">
        <f t="shared" si="1"/>
        <v>160.41320689655174</v>
      </c>
      <c r="G25" s="468"/>
    </row>
    <row r="26" spans="1:7" x14ac:dyDescent="0.3">
      <c r="A26" s="160">
        <v>1263</v>
      </c>
      <c r="B26" s="4" t="s">
        <v>1297</v>
      </c>
      <c r="C26" s="26" t="s">
        <v>1298</v>
      </c>
      <c r="D26" s="25">
        <v>11.87</v>
      </c>
      <c r="E26" s="12">
        <f>(12.6*4.5412)/8.7</f>
        <v>6.5769103448275867</v>
      </c>
      <c r="F26" s="467">
        <f t="shared" si="1"/>
        <v>78.067925793103456</v>
      </c>
      <c r="G26" s="468"/>
    </row>
    <row r="27" spans="1:7" x14ac:dyDescent="0.3">
      <c r="A27" s="160">
        <v>2023</v>
      </c>
      <c r="B27" s="4" t="s">
        <v>1299</v>
      </c>
      <c r="C27" s="26" t="s">
        <v>31</v>
      </c>
      <c r="D27" s="25">
        <v>5.63</v>
      </c>
      <c r="E27" s="12">
        <f>(12.6*52.61)/8.7</f>
        <v>76.193793103448272</v>
      </c>
      <c r="F27" s="467">
        <f t="shared" si="1"/>
        <v>428.97105517241374</v>
      </c>
      <c r="G27" s="468"/>
    </row>
    <row r="28" spans="1:7" x14ac:dyDescent="0.3">
      <c r="A28" s="160">
        <v>2804</v>
      </c>
      <c r="B28" s="4" t="s">
        <v>1300</v>
      </c>
      <c r="C28" s="26" t="s">
        <v>103</v>
      </c>
      <c r="D28" s="25">
        <v>90</v>
      </c>
      <c r="E28" s="12">
        <f>(12.6*5.24)/8.7</f>
        <v>7.5889655172413804</v>
      </c>
      <c r="F28" s="467">
        <f t="shared" si="1"/>
        <v>683.00689655172425</v>
      </c>
      <c r="G28" s="468"/>
    </row>
    <row r="29" spans="1:7" x14ac:dyDescent="0.3">
      <c r="A29" s="472" t="s">
        <v>982</v>
      </c>
      <c r="B29" s="473"/>
      <c r="C29" s="473"/>
      <c r="D29" s="473"/>
      <c r="E29" s="473"/>
      <c r="F29" s="473"/>
      <c r="G29" s="161">
        <f>SUM(F11:G28)</f>
        <v>5764.8998675172425</v>
      </c>
    </row>
    <row r="30" spans="1:7" x14ac:dyDescent="0.3">
      <c r="A30" s="474" t="s">
        <v>86</v>
      </c>
      <c r="B30" s="475"/>
      <c r="C30" s="475"/>
      <c r="D30" s="475"/>
      <c r="E30" s="475"/>
      <c r="F30" s="475"/>
      <c r="G30" s="165">
        <f>G29+G9</f>
        <v>11553.803315793104</v>
      </c>
    </row>
    <row r="31" spans="1:7" x14ac:dyDescent="0.3">
      <c r="A31" s="171"/>
      <c r="B31" s="154"/>
      <c r="C31" s="154"/>
      <c r="D31" s="154"/>
      <c r="E31" s="154"/>
      <c r="F31" s="154"/>
      <c r="G31" s="141"/>
    </row>
    <row r="32" spans="1:7" ht="15" thickBot="1" x14ac:dyDescent="0.35">
      <c r="A32" s="171"/>
      <c r="B32" s="154"/>
      <c r="C32" s="154"/>
      <c r="D32" s="154"/>
      <c r="E32" s="154"/>
      <c r="F32" s="154"/>
      <c r="G32" s="141"/>
    </row>
    <row r="33" spans="1:7" ht="15" thickBot="1" x14ac:dyDescent="0.35">
      <c r="A33" s="469" t="s">
        <v>1305</v>
      </c>
      <c r="B33" s="470"/>
      <c r="C33" s="470"/>
      <c r="D33" s="470"/>
      <c r="E33" s="470"/>
      <c r="F33" s="470"/>
      <c r="G33" s="471"/>
    </row>
    <row r="34" spans="1:7" x14ac:dyDescent="0.3">
      <c r="A34" s="166" t="s">
        <v>1261</v>
      </c>
      <c r="B34" s="167" t="s">
        <v>1262</v>
      </c>
      <c r="C34" s="168" t="s">
        <v>1263</v>
      </c>
      <c r="D34" s="169" t="s">
        <v>1264</v>
      </c>
      <c r="E34" s="168" t="s">
        <v>1265</v>
      </c>
      <c r="F34" s="169" t="s">
        <v>1266</v>
      </c>
      <c r="G34" s="170" t="s">
        <v>1267</v>
      </c>
    </row>
    <row r="35" spans="1:7" x14ac:dyDescent="0.3">
      <c r="A35" s="160">
        <v>8</v>
      </c>
      <c r="B35" s="4" t="s">
        <v>1268</v>
      </c>
      <c r="C35" s="26">
        <v>4.63</v>
      </c>
      <c r="D35" s="25">
        <v>8.75</v>
      </c>
      <c r="E35" s="26">
        <v>89.05</v>
      </c>
      <c r="F35" s="11">
        <f>(12.6*22.32)/8.7</f>
        <v>32.325517241379309</v>
      </c>
      <c r="G35" s="161">
        <f t="shared" ref="G35:G40" si="2">F35*D35</f>
        <v>282.84827586206893</v>
      </c>
    </row>
    <row r="36" spans="1:7" x14ac:dyDescent="0.3">
      <c r="A36" s="160">
        <v>6</v>
      </c>
      <c r="B36" s="4" t="s">
        <v>1269</v>
      </c>
      <c r="C36" s="26">
        <v>7.38</v>
      </c>
      <c r="D36" s="25">
        <v>13.95</v>
      </c>
      <c r="E36" s="26">
        <v>89.05</v>
      </c>
      <c r="F36" s="11">
        <f>(9.792*22.32)/8.7</f>
        <v>25.121544827586206</v>
      </c>
      <c r="G36" s="161">
        <f t="shared" si="2"/>
        <v>350.44555034482755</v>
      </c>
    </row>
    <row r="37" spans="1:7" x14ac:dyDescent="0.3">
      <c r="A37" s="160">
        <v>10</v>
      </c>
      <c r="B37" s="4" t="s">
        <v>1270</v>
      </c>
      <c r="C37" s="26">
        <v>7.38</v>
      </c>
      <c r="D37" s="25">
        <v>13.95</v>
      </c>
      <c r="E37" s="26">
        <v>89.05</v>
      </c>
      <c r="F37" s="12">
        <f>(9.792*56.939)/8.7</f>
        <v>64.085826206896556</v>
      </c>
      <c r="G37" s="161">
        <f t="shared" si="2"/>
        <v>893.99727558620691</v>
      </c>
    </row>
    <row r="38" spans="1:7" x14ac:dyDescent="0.3">
      <c r="A38" s="160">
        <v>5</v>
      </c>
      <c r="B38" s="4" t="s">
        <v>1271</v>
      </c>
      <c r="C38" s="26">
        <v>4.63</v>
      </c>
      <c r="D38" s="25">
        <v>8.75</v>
      </c>
      <c r="E38" s="26">
        <v>89.05</v>
      </c>
      <c r="F38" s="12">
        <f>(9.792*229.979)/8.7</f>
        <v>258.84532965517246</v>
      </c>
      <c r="G38" s="161">
        <f t="shared" si="2"/>
        <v>2264.8966344827591</v>
      </c>
    </row>
    <row r="39" spans="1:7" x14ac:dyDescent="0.3">
      <c r="A39" s="160">
        <v>32</v>
      </c>
      <c r="B39" s="4" t="s">
        <v>1272</v>
      </c>
      <c r="C39" s="26">
        <v>5.56</v>
      </c>
      <c r="D39" s="25">
        <v>10.51</v>
      </c>
      <c r="E39" s="26">
        <v>89.05</v>
      </c>
      <c r="F39" s="12">
        <f>(9.792*9.37)/8.7</f>
        <v>10.546096551724137</v>
      </c>
      <c r="G39" s="161">
        <f t="shared" si="2"/>
        <v>110.83947475862068</v>
      </c>
    </row>
    <row r="40" spans="1:7" x14ac:dyDescent="0.3">
      <c r="A40" s="160">
        <v>4</v>
      </c>
      <c r="B40" s="4" t="s">
        <v>1273</v>
      </c>
      <c r="C40" s="26">
        <v>7.38</v>
      </c>
      <c r="D40" s="25">
        <v>13.95</v>
      </c>
      <c r="E40" s="26">
        <v>89.05</v>
      </c>
      <c r="F40" s="12">
        <f>(9.792*41.96)/8.7</f>
        <v>47.226703448275863</v>
      </c>
      <c r="G40" s="161">
        <f t="shared" si="2"/>
        <v>658.81251310344828</v>
      </c>
    </row>
    <row r="41" spans="1:7" x14ac:dyDescent="0.3">
      <c r="A41" s="472" t="s">
        <v>982</v>
      </c>
      <c r="B41" s="473"/>
      <c r="C41" s="473"/>
      <c r="D41" s="473"/>
      <c r="E41" s="473"/>
      <c r="F41" s="473"/>
      <c r="G41" s="161">
        <f>SUM(G35:G40)</f>
        <v>4561.8397241379316</v>
      </c>
    </row>
    <row r="42" spans="1:7" x14ac:dyDescent="0.3">
      <c r="A42" s="160" t="s">
        <v>1274</v>
      </c>
      <c r="B42" s="4" t="s">
        <v>1275</v>
      </c>
      <c r="C42" s="26" t="s">
        <v>1276</v>
      </c>
      <c r="D42" s="25" t="s">
        <v>1277</v>
      </c>
      <c r="E42" s="26" t="s">
        <v>1278</v>
      </c>
      <c r="F42" s="467" t="s">
        <v>1279</v>
      </c>
      <c r="G42" s="468"/>
    </row>
    <row r="43" spans="1:7" x14ac:dyDescent="0.3">
      <c r="A43" s="160">
        <v>1221</v>
      </c>
      <c r="B43" s="4" t="s">
        <v>1280</v>
      </c>
      <c r="C43" s="26" t="s">
        <v>131</v>
      </c>
      <c r="D43" s="25">
        <v>0.54</v>
      </c>
      <c r="E43" s="12">
        <f>(9.792*119.53)/8.7</f>
        <v>134.53307586206898</v>
      </c>
      <c r="F43" s="467">
        <f>E43*D43</f>
        <v>72.647860965517253</v>
      </c>
      <c r="G43" s="468"/>
    </row>
    <row r="44" spans="1:7" x14ac:dyDescent="0.3">
      <c r="A44" s="160">
        <v>1218</v>
      </c>
      <c r="B44" s="4" t="s">
        <v>1281</v>
      </c>
      <c r="C44" s="26" t="s">
        <v>1282</v>
      </c>
      <c r="D44" s="25">
        <v>6.96</v>
      </c>
      <c r="E44" s="12">
        <f>(9.792*2.98)/8.7</f>
        <v>3.3540413793103454</v>
      </c>
      <c r="F44" s="467">
        <f t="shared" ref="F44:F60" si="3">E44*D44</f>
        <v>23.344128000000005</v>
      </c>
      <c r="G44" s="468"/>
    </row>
    <row r="45" spans="1:7" x14ac:dyDescent="0.3">
      <c r="A45" s="160">
        <v>1215</v>
      </c>
      <c r="B45" s="4" t="s">
        <v>1283</v>
      </c>
      <c r="C45" s="26" t="s">
        <v>129</v>
      </c>
      <c r="D45" s="25">
        <v>0.39</v>
      </c>
      <c r="E45" s="12">
        <f>(9.792*1817.09)/8.7</f>
        <v>2045.1661241379311</v>
      </c>
      <c r="F45" s="467">
        <f t="shared" si="3"/>
        <v>797.61478841379312</v>
      </c>
      <c r="G45" s="468"/>
    </row>
    <row r="46" spans="1:7" x14ac:dyDescent="0.3">
      <c r="A46" s="160">
        <v>1695</v>
      </c>
      <c r="B46" s="4" t="s">
        <v>1284</v>
      </c>
      <c r="C46" s="26" t="s">
        <v>814</v>
      </c>
      <c r="D46" s="25">
        <v>7.85</v>
      </c>
      <c r="E46" s="12">
        <f>(9.792*1.0203)/8.7</f>
        <v>1.1483652413793104</v>
      </c>
      <c r="F46" s="467">
        <f t="shared" si="3"/>
        <v>9.0146671448275857</v>
      </c>
      <c r="G46" s="468"/>
    </row>
    <row r="47" spans="1:7" x14ac:dyDescent="0.3">
      <c r="A47" s="160">
        <v>1696</v>
      </c>
      <c r="B47" s="4" t="s">
        <v>1285</v>
      </c>
      <c r="C47" s="26" t="s">
        <v>814</v>
      </c>
      <c r="D47" s="25">
        <v>15.7</v>
      </c>
      <c r="E47" s="12">
        <f>(9.792*19.36)/8.7</f>
        <v>21.790013793103448</v>
      </c>
      <c r="F47" s="467">
        <f t="shared" si="3"/>
        <v>342.10321655172413</v>
      </c>
      <c r="G47" s="468"/>
    </row>
    <row r="48" spans="1:7" x14ac:dyDescent="0.3">
      <c r="A48" s="160">
        <v>2497</v>
      </c>
      <c r="B48" s="4" t="s">
        <v>1286</v>
      </c>
      <c r="C48" s="26" t="s">
        <v>126</v>
      </c>
      <c r="D48" s="25">
        <v>74.900000000000006</v>
      </c>
      <c r="E48" s="12">
        <f>(9.792*2.135)/8.7</f>
        <v>2.4029793103448274</v>
      </c>
      <c r="F48" s="467">
        <f t="shared" si="3"/>
        <v>179.98315034482758</v>
      </c>
      <c r="G48" s="468"/>
    </row>
    <row r="49" spans="1:7" x14ac:dyDescent="0.3">
      <c r="A49" s="160">
        <v>2386</v>
      </c>
      <c r="B49" s="4" t="s">
        <v>1287</v>
      </c>
      <c r="C49" s="26" t="s">
        <v>103</v>
      </c>
      <c r="D49" s="25">
        <v>85.36</v>
      </c>
      <c r="E49" s="12">
        <f>(9.792*2.135)/8.7</f>
        <v>2.4029793103448274</v>
      </c>
      <c r="F49" s="467">
        <f t="shared" si="3"/>
        <v>205.11831393103446</v>
      </c>
      <c r="G49" s="468"/>
    </row>
    <row r="50" spans="1:7" x14ac:dyDescent="0.3">
      <c r="A50" s="160">
        <v>102</v>
      </c>
      <c r="B50" s="4" t="s">
        <v>1288</v>
      </c>
      <c r="C50" s="26" t="s">
        <v>131</v>
      </c>
      <c r="D50" s="25">
        <v>6.75</v>
      </c>
      <c r="E50" s="12">
        <f>(9.792*5.68)/8.7</f>
        <v>6.3929379310344832</v>
      </c>
      <c r="F50" s="467">
        <f t="shared" si="3"/>
        <v>43.152331034482764</v>
      </c>
      <c r="G50" s="468"/>
    </row>
    <row r="51" spans="1:7" x14ac:dyDescent="0.3">
      <c r="A51" s="160">
        <v>2448</v>
      </c>
      <c r="B51" s="4" t="s">
        <v>1289</v>
      </c>
      <c r="C51" s="26" t="s">
        <v>129</v>
      </c>
      <c r="D51" s="25">
        <v>4.45</v>
      </c>
      <c r="E51" s="12">
        <f>(9.792*44)/8.7</f>
        <v>49.522758620689658</v>
      </c>
      <c r="F51" s="467">
        <f t="shared" si="3"/>
        <v>220.37627586206898</v>
      </c>
      <c r="G51" s="468"/>
    </row>
    <row r="52" spans="1:7" x14ac:dyDescent="0.3">
      <c r="A52" s="160">
        <v>2437</v>
      </c>
      <c r="B52" s="4" t="s">
        <v>1290</v>
      </c>
      <c r="C52" s="26" t="s">
        <v>1291</v>
      </c>
      <c r="D52" s="25">
        <v>4.28</v>
      </c>
      <c r="E52" s="12">
        <f>(9.792*268.4)/8.7</f>
        <v>302.08882758620689</v>
      </c>
      <c r="F52" s="467">
        <f t="shared" si="3"/>
        <v>1292.9401820689657</v>
      </c>
      <c r="G52" s="468"/>
    </row>
    <row r="53" spans="1:7" x14ac:dyDescent="0.3">
      <c r="A53" s="160">
        <v>1861</v>
      </c>
      <c r="B53" s="4" t="s">
        <v>1292</v>
      </c>
      <c r="C53" s="26" t="s">
        <v>129</v>
      </c>
      <c r="D53" s="25">
        <v>5.99</v>
      </c>
      <c r="E53" s="12">
        <f>(9.792*11.51)/8.7</f>
        <v>12.954703448275863</v>
      </c>
      <c r="F53" s="467">
        <f t="shared" si="3"/>
        <v>77.598673655172419</v>
      </c>
      <c r="G53" s="468"/>
    </row>
    <row r="54" spans="1:7" x14ac:dyDescent="0.3">
      <c r="A54" s="160">
        <v>1964</v>
      </c>
      <c r="B54" s="4" t="s">
        <v>1293</v>
      </c>
      <c r="C54" s="26" t="s">
        <v>319</v>
      </c>
      <c r="D54" s="25">
        <v>2.33</v>
      </c>
      <c r="E54" s="12">
        <f>(9.792*0.93)/8.7</f>
        <v>1.0467310344827587</v>
      </c>
      <c r="F54" s="467">
        <f t="shared" si="3"/>
        <v>2.4388833103448277</v>
      </c>
      <c r="G54" s="468"/>
    </row>
    <row r="55" spans="1:7" x14ac:dyDescent="0.3">
      <c r="A55" s="160">
        <v>1968</v>
      </c>
      <c r="B55" s="4" t="s">
        <v>1294</v>
      </c>
      <c r="C55" s="26" t="s">
        <v>319</v>
      </c>
      <c r="D55" s="25">
        <v>2.06</v>
      </c>
      <c r="E55" s="12">
        <f>(9.792*49.51)/8.7</f>
        <v>55.724358620689657</v>
      </c>
      <c r="F55" s="467">
        <f t="shared" si="3"/>
        <v>114.79217875862069</v>
      </c>
      <c r="G55" s="468"/>
    </row>
    <row r="56" spans="1:7" x14ac:dyDescent="0.3">
      <c r="A56" s="160">
        <v>1973</v>
      </c>
      <c r="B56" s="4" t="s">
        <v>1295</v>
      </c>
      <c r="C56" s="26" t="s">
        <v>129</v>
      </c>
      <c r="D56" s="25">
        <v>3.67</v>
      </c>
      <c r="E56" s="12">
        <f>(9.792*11.99)/8.7</f>
        <v>13.494951724137932</v>
      </c>
      <c r="F56" s="467">
        <f t="shared" si="3"/>
        <v>49.526472827586211</v>
      </c>
      <c r="G56" s="468"/>
    </row>
    <row r="57" spans="1:7" x14ac:dyDescent="0.3">
      <c r="A57" s="160">
        <v>2380</v>
      </c>
      <c r="B57" s="4" t="s">
        <v>1296</v>
      </c>
      <c r="C57" s="26" t="s">
        <v>31</v>
      </c>
      <c r="D57" s="25">
        <v>1.23</v>
      </c>
      <c r="E57" s="12">
        <f>(9.792*90.05)/8.7</f>
        <v>101.3528275862069</v>
      </c>
      <c r="F57" s="467">
        <f t="shared" si="3"/>
        <v>124.66397793103448</v>
      </c>
      <c r="G57" s="468"/>
    </row>
    <row r="58" spans="1:7" x14ac:dyDescent="0.3">
      <c r="A58" s="160">
        <v>1263</v>
      </c>
      <c r="B58" s="4" t="s">
        <v>1297</v>
      </c>
      <c r="C58" s="26" t="s">
        <v>1298</v>
      </c>
      <c r="D58" s="25">
        <v>11.87</v>
      </c>
      <c r="E58" s="12">
        <f>(9.792*4.5412)/8.7</f>
        <v>5.1111988965517243</v>
      </c>
      <c r="F58" s="467">
        <f t="shared" si="3"/>
        <v>60.669930902068963</v>
      </c>
      <c r="G58" s="468"/>
    </row>
    <row r="59" spans="1:7" x14ac:dyDescent="0.3">
      <c r="A59" s="160">
        <v>2023</v>
      </c>
      <c r="B59" s="4" t="s">
        <v>1299</v>
      </c>
      <c r="C59" s="26" t="s">
        <v>31</v>
      </c>
      <c r="D59" s="25">
        <v>5.63</v>
      </c>
      <c r="E59" s="12">
        <f>(9.792*52.61)/8.7</f>
        <v>59.213462068965519</v>
      </c>
      <c r="F59" s="467">
        <f t="shared" si="3"/>
        <v>333.37179144827587</v>
      </c>
      <c r="G59" s="468"/>
    </row>
    <row r="60" spans="1:7" x14ac:dyDescent="0.3">
      <c r="A60" s="160">
        <v>2804</v>
      </c>
      <c r="B60" s="4" t="s">
        <v>1300</v>
      </c>
      <c r="C60" s="26" t="s">
        <v>103</v>
      </c>
      <c r="D60" s="25">
        <v>90</v>
      </c>
      <c r="E60" s="12">
        <f>(9.792*5.24)/8.7</f>
        <v>5.8977103448275869</v>
      </c>
      <c r="F60" s="467">
        <f t="shared" si="3"/>
        <v>530.79393103448285</v>
      </c>
      <c r="G60" s="468"/>
    </row>
    <row r="61" spans="1:7" x14ac:dyDescent="0.3">
      <c r="A61" s="472" t="s">
        <v>982</v>
      </c>
      <c r="B61" s="473"/>
      <c r="C61" s="473"/>
      <c r="D61" s="473"/>
      <c r="E61" s="473"/>
      <c r="F61" s="473"/>
      <c r="G61" s="161">
        <f>SUM(F43:G60)</f>
        <v>4480.1507541848277</v>
      </c>
    </row>
    <row r="62" spans="1:7" x14ac:dyDescent="0.3">
      <c r="A62" s="476" t="s">
        <v>86</v>
      </c>
      <c r="B62" s="477"/>
      <c r="C62" s="477"/>
      <c r="D62" s="477"/>
      <c r="E62" s="477"/>
      <c r="F62" s="477"/>
      <c r="G62" s="189">
        <f>G61+G41</f>
        <v>9041.9904783227594</v>
      </c>
    </row>
    <row r="63" spans="1:7" x14ac:dyDescent="0.3">
      <c r="A63" s="171"/>
      <c r="B63" s="154"/>
      <c r="C63" s="154"/>
      <c r="D63" s="154"/>
      <c r="E63" s="154"/>
      <c r="F63" s="154"/>
      <c r="G63" s="141"/>
    </row>
    <row r="64" spans="1:7" ht="15" thickBot="1" x14ac:dyDescent="0.35">
      <c r="A64" s="171"/>
      <c r="B64" s="154"/>
      <c r="C64" s="154"/>
      <c r="D64" s="154"/>
      <c r="E64" s="154"/>
      <c r="F64" s="154"/>
      <c r="G64" s="141"/>
    </row>
    <row r="65" spans="1:7" ht="15" thickBot="1" x14ac:dyDescent="0.35">
      <c r="A65" s="469" t="s">
        <v>1331</v>
      </c>
      <c r="B65" s="470"/>
      <c r="C65" s="470"/>
      <c r="D65" s="470"/>
      <c r="E65" s="470"/>
      <c r="F65" s="470"/>
      <c r="G65" s="471"/>
    </row>
    <row r="66" spans="1:7" x14ac:dyDescent="0.3">
      <c r="A66" s="166" t="s">
        <v>1261</v>
      </c>
      <c r="B66" s="167" t="s">
        <v>1308</v>
      </c>
      <c r="C66" s="168" t="s">
        <v>1309</v>
      </c>
      <c r="D66" s="169" t="s">
        <v>1310</v>
      </c>
      <c r="E66" s="168" t="s">
        <v>1265</v>
      </c>
      <c r="F66" s="169" t="s">
        <v>1311</v>
      </c>
      <c r="G66" s="170" t="s">
        <v>1312</v>
      </c>
    </row>
    <row r="67" spans="1:7" x14ac:dyDescent="0.3">
      <c r="A67" s="160">
        <v>6</v>
      </c>
      <c r="B67" s="4" t="s">
        <v>1313</v>
      </c>
      <c r="C67" s="26">
        <v>7.38</v>
      </c>
      <c r="D67" s="25">
        <v>13.95</v>
      </c>
      <c r="E67" s="26">
        <v>89.05</v>
      </c>
      <c r="F67" s="12">
        <f>(4.59*0.5)/7.2</f>
        <v>0.31874999999999998</v>
      </c>
      <c r="G67" s="161">
        <f>F67*D67</f>
        <v>4.4465624999999998</v>
      </c>
    </row>
    <row r="68" spans="1:7" x14ac:dyDescent="0.3">
      <c r="A68" s="160">
        <v>5</v>
      </c>
      <c r="B68" s="4" t="s">
        <v>1271</v>
      </c>
      <c r="C68" s="26">
        <v>4.63</v>
      </c>
      <c r="D68" s="25">
        <v>8.75</v>
      </c>
      <c r="E68" s="26">
        <v>89.05</v>
      </c>
      <c r="F68" s="12">
        <f>(4.59*40.907)/7.2</f>
        <v>26.078212499999999</v>
      </c>
      <c r="G68" s="161">
        <f>F68*D68</f>
        <v>228.18435937499999</v>
      </c>
    </row>
    <row r="69" spans="1:7" x14ac:dyDescent="0.3">
      <c r="A69" s="160">
        <v>13</v>
      </c>
      <c r="B69" s="4" t="s">
        <v>1314</v>
      </c>
      <c r="C69" s="26">
        <v>7.38</v>
      </c>
      <c r="D69" s="25">
        <v>13.95</v>
      </c>
      <c r="E69" s="26">
        <v>89.05</v>
      </c>
      <c r="F69" s="25">
        <f>(4.59*41.06)/7.2</f>
        <v>26.175750000000001</v>
      </c>
      <c r="G69" s="161">
        <f>F69*D69</f>
        <v>365.15171249999997</v>
      </c>
    </row>
    <row r="70" spans="1:7" x14ac:dyDescent="0.3">
      <c r="A70" s="160">
        <v>4</v>
      </c>
      <c r="B70" s="4" t="s">
        <v>1315</v>
      </c>
      <c r="C70" s="26">
        <v>7.38</v>
      </c>
      <c r="D70" s="25">
        <v>13.95</v>
      </c>
      <c r="E70" s="26">
        <v>89.05</v>
      </c>
      <c r="F70" s="25">
        <f>(4.59*30.406)/7.2</f>
        <v>19.383824999999998</v>
      </c>
      <c r="G70" s="161">
        <f>F70*D70</f>
        <v>270.40435874999997</v>
      </c>
    </row>
    <row r="71" spans="1:7" x14ac:dyDescent="0.3">
      <c r="A71" s="472" t="s">
        <v>982</v>
      </c>
      <c r="B71" s="473"/>
      <c r="C71" s="473"/>
      <c r="D71" s="473"/>
      <c r="E71" s="473"/>
      <c r="F71" s="473"/>
      <c r="G71" s="161">
        <f>SUM(G67:G70)</f>
        <v>868.18699312499984</v>
      </c>
    </row>
    <row r="72" spans="1:7" x14ac:dyDescent="0.3">
      <c r="A72" s="160" t="s">
        <v>1274</v>
      </c>
      <c r="B72" s="4" t="s">
        <v>1316</v>
      </c>
      <c r="C72" s="26" t="s">
        <v>1317</v>
      </c>
      <c r="D72" s="25" t="s">
        <v>1318</v>
      </c>
      <c r="E72" s="26" t="s">
        <v>1311</v>
      </c>
      <c r="F72" s="467" t="s">
        <v>1319</v>
      </c>
      <c r="G72" s="468"/>
    </row>
    <row r="73" spans="1:7" x14ac:dyDescent="0.3">
      <c r="A73" s="160">
        <v>2437</v>
      </c>
      <c r="B73" s="4" t="s">
        <v>1320</v>
      </c>
      <c r="C73" s="26" t="s">
        <v>1321</v>
      </c>
      <c r="D73" s="25">
        <v>4.28</v>
      </c>
      <c r="E73" s="12">
        <f>(4.59*7.94)/7.2</f>
        <v>5.06175</v>
      </c>
      <c r="F73" s="467">
        <f>E73*D73</f>
        <v>21.664290000000001</v>
      </c>
      <c r="G73" s="468"/>
    </row>
    <row r="74" spans="1:7" x14ac:dyDescent="0.3">
      <c r="A74" s="160">
        <v>102</v>
      </c>
      <c r="B74" s="4" t="s">
        <v>1322</v>
      </c>
      <c r="C74" s="26" t="s">
        <v>129</v>
      </c>
      <c r="D74" s="25">
        <v>6.75</v>
      </c>
      <c r="E74" s="12">
        <f>(4.59*0.43)/7.2</f>
        <v>0.27412500000000001</v>
      </c>
      <c r="F74" s="467">
        <f t="shared" ref="F74:F82" si="4">E74*D74</f>
        <v>1.85034375</v>
      </c>
      <c r="G74" s="468"/>
    </row>
    <row r="75" spans="1:7" x14ac:dyDescent="0.3">
      <c r="A75" s="160">
        <v>2386</v>
      </c>
      <c r="B75" s="4" t="s">
        <v>1323</v>
      </c>
      <c r="C75" s="26" t="s">
        <v>126</v>
      </c>
      <c r="D75" s="25">
        <v>85.36</v>
      </c>
      <c r="E75" s="12">
        <f>(4.59*0.0585)/7.2</f>
        <v>3.7293750000000001E-2</v>
      </c>
      <c r="F75" s="467">
        <f t="shared" si="4"/>
        <v>3.1833944999999999</v>
      </c>
      <c r="G75" s="468"/>
    </row>
    <row r="76" spans="1:7" x14ac:dyDescent="0.3">
      <c r="A76" s="160">
        <v>2497</v>
      </c>
      <c r="B76" s="4" t="s">
        <v>1324</v>
      </c>
      <c r="C76" s="26" t="s">
        <v>126</v>
      </c>
      <c r="D76" s="25">
        <v>74.900000000000006</v>
      </c>
      <c r="E76" s="12">
        <f>(4.59*0.0585)/7.2</f>
        <v>3.7293750000000001E-2</v>
      </c>
      <c r="F76" s="467">
        <f t="shared" si="4"/>
        <v>2.793301875</v>
      </c>
      <c r="G76" s="468"/>
    </row>
    <row r="77" spans="1:7" x14ac:dyDescent="0.3">
      <c r="A77" s="160">
        <v>2777</v>
      </c>
      <c r="B77" s="4" t="s">
        <v>1325</v>
      </c>
      <c r="C77" s="26" t="s">
        <v>103</v>
      </c>
      <c r="D77" s="25">
        <v>74.900000000000006</v>
      </c>
      <c r="E77" s="12">
        <f>(4.59*0.6157)/7.2</f>
        <v>0.39250874999999996</v>
      </c>
      <c r="F77" s="467">
        <f t="shared" si="4"/>
        <v>29.398905374999998</v>
      </c>
      <c r="G77" s="468"/>
    </row>
    <row r="78" spans="1:7" x14ac:dyDescent="0.3">
      <c r="A78" s="160">
        <v>1215</v>
      </c>
      <c r="B78" s="4" t="s">
        <v>1283</v>
      </c>
      <c r="C78" s="26" t="s">
        <v>129</v>
      </c>
      <c r="D78" s="25">
        <v>0.39</v>
      </c>
      <c r="E78" s="12">
        <f>(4.59*54.8)/7.2</f>
        <v>34.934999999999995</v>
      </c>
      <c r="F78" s="467">
        <f t="shared" si="4"/>
        <v>13.624649999999999</v>
      </c>
      <c r="G78" s="468"/>
    </row>
    <row r="79" spans="1:7" x14ac:dyDescent="0.3">
      <c r="A79" s="160">
        <v>1968</v>
      </c>
      <c r="B79" s="4" t="s">
        <v>1294</v>
      </c>
      <c r="C79" s="26" t="s">
        <v>31</v>
      </c>
      <c r="D79" s="25">
        <v>2.06</v>
      </c>
      <c r="E79" s="12">
        <f>(4.59*5.05)/7.2</f>
        <v>3.2193749999999994</v>
      </c>
      <c r="F79" s="467">
        <f t="shared" si="4"/>
        <v>6.6319124999999994</v>
      </c>
      <c r="G79" s="468"/>
    </row>
    <row r="80" spans="1:7" x14ac:dyDescent="0.3">
      <c r="A80" s="160">
        <v>1861</v>
      </c>
      <c r="B80" s="4" t="s">
        <v>1326</v>
      </c>
      <c r="C80" s="26" t="s">
        <v>129</v>
      </c>
      <c r="D80" s="25">
        <v>5.99</v>
      </c>
      <c r="E80" s="12">
        <f>(4.59*0.1)/7.2</f>
        <v>6.3750000000000001E-2</v>
      </c>
      <c r="F80" s="467">
        <f t="shared" si="4"/>
        <v>0.38186249999999999</v>
      </c>
      <c r="G80" s="468"/>
    </row>
    <row r="81" spans="1:7" x14ac:dyDescent="0.3">
      <c r="A81" s="160">
        <v>2033</v>
      </c>
      <c r="B81" s="4" t="s">
        <v>1327</v>
      </c>
      <c r="C81" s="26" t="s">
        <v>186</v>
      </c>
      <c r="D81" s="25">
        <v>0.3</v>
      </c>
      <c r="E81" s="12">
        <f>(4.59*1267)/7.2</f>
        <v>807.71249999999998</v>
      </c>
      <c r="F81" s="467">
        <f t="shared" si="4"/>
        <v>242.31374999999997</v>
      </c>
      <c r="G81" s="468"/>
    </row>
    <row r="82" spans="1:7" x14ac:dyDescent="0.3">
      <c r="A82" s="160">
        <v>2804</v>
      </c>
      <c r="B82" s="4" t="s">
        <v>1300</v>
      </c>
      <c r="C82" s="26" t="s">
        <v>103</v>
      </c>
      <c r="D82" s="25">
        <v>90</v>
      </c>
      <c r="E82" s="12">
        <f>(4.59*0.104)/7.2</f>
        <v>6.6299999999999998E-2</v>
      </c>
      <c r="F82" s="467">
        <f t="shared" si="4"/>
        <v>5.9669999999999996</v>
      </c>
      <c r="G82" s="468"/>
    </row>
    <row r="83" spans="1:7" x14ac:dyDescent="0.3">
      <c r="A83" s="472" t="s">
        <v>982</v>
      </c>
      <c r="B83" s="473"/>
      <c r="C83" s="473"/>
      <c r="D83" s="473"/>
      <c r="E83" s="473"/>
      <c r="F83" s="473"/>
      <c r="G83" s="161">
        <f>SUM(F73:G82)</f>
        <v>327.80941049999996</v>
      </c>
    </row>
    <row r="84" spans="1:7" x14ac:dyDescent="0.3">
      <c r="A84" s="472" t="s">
        <v>86</v>
      </c>
      <c r="B84" s="473"/>
      <c r="C84" s="473"/>
      <c r="D84" s="473"/>
      <c r="E84" s="473"/>
      <c r="F84" s="473"/>
      <c r="G84" s="161">
        <f>G83+G71</f>
        <v>1195.9964036249999</v>
      </c>
    </row>
    <row r="85" spans="1:7" x14ac:dyDescent="0.3">
      <c r="A85" s="162"/>
      <c r="B85" s="2"/>
      <c r="C85" s="1"/>
      <c r="D85" s="153"/>
      <c r="E85" s="1"/>
      <c r="F85" s="153"/>
      <c r="G85" s="163"/>
    </row>
    <row r="86" spans="1:7" x14ac:dyDescent="0.3">
      <c r="A86" s="171"/>
      <c r="B86" s="154"/>
      <c r="C86" s="154"/>
      <c r="D86" s="154"/>
      <c r="E86" s="154"/>
      <c r="F86" s="154"/>
      <c r="G86" s="141"/>
    </row>
    <row r="87" spans="1:7" ht="15" thickBot="1" x14ac:dyDescent="0.35">
      <c r="A87" s="171"/>
      <c r="B87" s="154"/>
      <c r="C87" s="154"/>
      <c r="D87" s="154"/>
      <c r="E87" s="154"/>
      <c r="F87" s="154"/>
      <c r="G87" s="141"/>
    </row>
    <row r="88" spans="1:7" ht="15" thickBot="1" x14ac:dyDescent="0.35">
      <c r="A88" s="469" t="s">
        <v>1332</v>
      </c>
      <c r="B88" s="470"/>
      <c r="C88" s="470"/>
      <c r="D88" s="470"/>
      <c r="E88" s="470"/>
      <c r="F88" s="470"/>
      <c r="G88" s="471"/>
    </row>
    <row r="89" spans="1:7" x14ac:dyDescent="0.3">
      <c r="A89" s="166" t="s">
        <v>1261</v>
      </c>
      <c r="B89" s="167" t="s">
        <v>1308</v>
      </c>
      <c r="C89" s="168" t="s">
        <v>1309</v>
      </c>
      <c r="D89" s="169" t="s">
        <v>1310</v>
      </c>
      <c r="E89" s="168" t="s">
        <v>1265</v>
      </c>
      <c r="F89" s="169" t="s">
        <v>1311</v>
      </c>
      <c r="G89" s="170" t="s">
        <v>1312</v>
      </c>
    </row>
    <row r="90" spans="1:7" x14ac:dyDescent="0.3">
      <c r="A90" s="160">
        <v>6</v>
      </c>
      <c r="B90" s="4" t="s">
        <v>1313</v>
      </c>
      <c r="C90" s="26">
        <v>7.38</v>
      </c>
      <c r="D90" s="25">
        <v>13.95</v>
      </c>
      <c r="E90" s="26">
        <v>89.05</v>
      </c>
      <c r="F90" s="12">
        <f>(4.95*0.5)/7.2</f>
        <v>0.34375</v>
      </c>
      <c r="G90" s="161">
        <f>F90*D90</f>
        <v>4.7953124999999996</v>
      </c>
    </row>
    <row r="91" spans="1:7" x14ac:dyDescent="0.3">
      <c r="A91" s="160">
        <v>5</v>
      </c>
      <c r="B91" s="4" t="s">
        <v>1271</v>
      </c>
      <c r="C91" s="26">
        <v>4.63</v>
      </c>
      <c r="D91" s="25">
        <v>8.75</v>
      </c>
      <c r="E91" s="26">
        <v>89.05</v>
      </c>
      <c r="F91" s="12">
        <f>(4.95*40.907)/7.2</f>
        <v>28.123562499999998</v>
      </c>
      <c r="G91" s="161">
        <f>F91*D91</f>
        <v>246.081171875</v>
      </c>
    </row>
    <row r="92" spans="1:7" x14ac:dyDescent="0.3">
      <c r="A92" s="160">
        <v>13</v>
      </c>
      <c r="B92" s="4" t="s">
        <v>1314</v>
      </c>
      <c r="C92" s="26">
        <v>7.38</v>
      </c>
      <c r="D92" s="25">
        <v>13.95</v>
      </c>
      <c r="E92" s="26">
        <v>89.05</v>
      </c>
      <c r="F92" s="25">
        <f>(4.95*41.06)/7.2</f>
        <v>28.228750000000002</v>
      </c>
      <c r="G92" s="161">
        <f>F92*D92</f>
        <v>393.79106250000001</v>
      </c>
    </row>
    <row r="93" spans="1:7" x14ac:dyDescent="0.3">
      <c r="A93" s="160">
        <v>4</v>
      </c>
      <c r="B93" s="4" t="s">
        <v>1315</v>
      </c>
      <c r="C93" s="26">
        <v>7.38</v>
      </c>
      <c r="D93" s="25">
        <v>13.95</v>
      </c>
      <c r="E93" s="26">
        <v>89.05</v>
      </c>
      <c r="F93" s="25">
        <f>(4.95*30.406)/7.2</f>
        <v>20.904125000000001</v>
      </c>
      <c r="G93" s="161">
        <f>F93*D93</f>
        <v>291.61254374999999</v>
      </c>
    </row>
    <row r="94" spans="1:7" x14ac:dyDescent="0.3">
      <c r="A94" s="472" t="s">
        <v>982</v>
      </c>
      <c r="B94" s="473"/>
      <c r="C94" s="473"/>
      <c r="D94" s="473"/>
      <c r="E94" s="473"/>
      <c r="F94" s="473"/>
      <c r="G94" s="161">
        <f>SUM(G90:G93)</f>
        <v>936.28009062499996</v>
      </c>
    </row>
    <row r="95" spans="1:7" x14ac:dyDescent="0.3">
      <c r="A95" s="160" t="s">
        <v>1274</v>
      </c>
      <c r="B95" s="4" t="s">
        <v>1316</v>
      </c>
      <c r="C95" s="26" t="s">
        <v>1317</v>
      </c>
      <c r="D95" s="25" t="s">
        <v>1318</v>
      </c>
      <c r="E95" s="26" t="s">
        <v>1311</v>
      </c>
      <c r="F95" s="467" t="s">
        <v>1319</v>
      </c>
      <c r="G95" s="468"/>
    </row>
    <row r="96" spans="1:7" x14ac:dyDescent="0.3">
      <c r="A96" s="160">
        <v>2437</v>
      </c>
      <c r="B96" s="4" t="s">
        <v>1320</v>
      </c>
      <c r="C96" s="26" t="s">
        <v>1321</v>
      </c>
      <c r="D96" s="25">
        <v>4.28</v>
      </c>
      <c r="E96" s="12">
        <f>(4.95*7.94)/7.2</f>
        <v>5.4587500000000002</v>
      </c>
      <c r="F96" s="467">
        <f>E96*D96</f>
        <v>23.363450000000004</v>
      </c>
      <c r="G96" s="468"/>
    </row>
    <row r="97" spans="1:7" x14ac:dyDescent="0.3">
      <c r="A97" s="160">
        <v>102</v>
      </c>
      <c r="B97" s="4" t="s">
        <v>1322</v>
      </c>
      <c r="C97" s="26" t="s">
        <v>129</v>
      </c>
      <c r="D97" s="25">
        <v>6.75</v>
      </c>
      <c r="E97" s="12">
        <f>(4.95*0.43)/7.2</f>
        <v>0.29562499999999997</v>
      </c>
      <c r="F97" s="467">
        <f t="shared" ref="F97:F105" si="5">E97*D97</f>
        <v>1.9954687499999999</v>
      </c>
      <c r="G97" s="468"/>
    </row>
    <row r="98" spans="1:7" x14ac:dyDescent="0.3">
      <c r="A98" s="160">
        <v>2386</v>
      </c>
      <c r="B98" s="4" t="s">
        <v>1323</v>
      </c>
      <c r="C98" s="26" t="s">
        <v>126</v>
      </c>
      <c r="D98" s="25">
        <v>85.36</v>
      </c>
      <c r="E98" s="12">
        <f>(4.95*0.0585)/7.2</f>
        <v>4.0218750000000004E-2</v>
      </c>
      <c r="F98" s="467">
        <f t="shared" si="5"/>
        <v>3.4330725000000002</v>
      </c>
      <c r="G98" s="468"/>
    </row>
    <row r="99" spans="1:7" x14ac:dyDescent="0.3">
      <c r="A99" s="160">
        <v>2497</v>
      </c>
      <c r="B99" s="4" t="s">
        <v>1324</v>
      </c>
      <c r="C99" s="26" t="s">
        <v>126</v>
      </c>
      <c r="D99" s="25">
        <v>74.900000000000006</v>
      </c>
      <c r="E99" s="12">
        <f>(4.95*0.0585)/7.2</f>
        <v>4.0218750000000004E-2</v>
      </c>
      <c r="F99" s="467">
        <f t="shared" si="5"/>
        <v>3.0123843750000008</v>
      </c>
      <c r="G99" s="468"/>
    </row>
    <row r="100" spans="1:7" x14ac:dyDescent="0.3">
      <c r="A100" s="160">
        <v>2777</v>
      </c>
      <c r="B100" s="4" t="s">
        <v>1325</v>
      </c>
      <c r="C100" s="26" t="s">
        <v>103</v>
      </c>
      <c r="D100" s="25">
        <v>74.900000000000006</v>
      </c>
      <c r="E100" s="12">
        <f>(4.95*0.6157)/7.2</f>
        <v>0.42329375000000002</v>
      </c>
      <c r="F100" s="467">
        <f t="shared" si="5"/>
        <v>31.704701875000005</v>
      </c>
      <c r="G100" s="468"/>
    </row>
    <row r="101" spans="1:7" x14ac:dyDescent="0.3">
      <c r="A101" s="160">
        <v>1215</v>
      </c>
      <c r="B101" s="4" t="s">
        <v>1283</v>
      </c>
      <c r="C101" s="26" t="s">
        <v>129</v>
      </c>
      <c r="D101" s="25">
        <v>0.39</v>
      </c>
      <c r="E101" s="12">
        <f>(4.95*54.8)/7.2</f>
        <v>37.674999999999997</v>
      </c>
      <c r="F101" s="467">
        <f t="shared" si="5"/>
        <v>14.693249999999999</v>
      </c>
      <c r="G101" s="468"/>
    </row>
    <row r="102" spans="1:7" x14ac:dyDescent="0.3">
      <c r="A102" s="160">
        <v>1968</v>
      </c>
      <c r="B102" s="4" t="s">
        <v>1294</v>
      </c>
      <c r="C102" s="26" t="s">
        <v>31</v>
      </c>
      <c r="D102" s="25">
        <v>2.06</v>
      </c>
      <c r="E102" s="12">
        <f>(4.95*5.05)/7.2</f>
        <v>3.4718749999999998</v>
      </c>
      <c r="F102" s="467">
        <f t="shared" si="5"/>
        <v>7.1520624999999995</v>
      </c>
      <c r="G102" s="468"/>
    </row>
    <row r="103" spans="1:7" x14ac:dyDescent="0.3">
      <c r="A103" s="160">
        <v>1861</v>
      </c>
      <c r="B103" s="4" t="s">
        <v>1326</v>
      </c>
      <c r="C103" s="26" t="s">
        <v>129</v>
      </c>
      <c r="D103" s="25">
        <v>5.99</v>
      </c>
      <c r="E103" s="12">
        <f>(4.95*0.1)/7.2</f>
        <v>6.8750000000000006E-2</v>
      </c>
      <c r="F103" s="467">
        <f t="shared" si="5"/>
        <v>0.41181250000000003</v>
      </c>
      <c r="G103" s="468"/>
    </row>
    <row r="104" spans="1:7" x14ac:dyDescent="0.3">
      <c r="A104" s="160">
        <v>2033</v>
      </c>
      <c r="B104" s="4" t="s">
        <v>1327</v>
      </c>
      <c r="C104" s="26" t="s">
        <v>186</v>
      </c>
      <c r="D104" s="25">
        <v>0.3</v>
      </c>
      <c r="E104" s="12">
        <f>(4.95*1267)/7.2</f>
        <v>871.0625</v>
      </c>
      <c r="F104" s="467">
        <f t="shared" si="5"/>
        <v>261.31874999999997</v>
      </c>
      <c r="G104" s="468"/>
    </row>
    <row r="105" spans="1:7" x14ac:dyDescent="0.3">
      <c r="A105" s="160">
        <v>2804</v>
      </c>
      <c r="B105" s="4" t="s">
        <v>1300</v>
      </c>
      <c r="C105" s="26" t="s">
        <v>103</v>
      </c>
      <c r="D105" s="25">
        <v>90</v>
      </c>
      <c r="E105" s="12">
        <f>(4.95*0.104)/7.2</f>
        <v>7.1500000000000008E-2</v>
      </c>
      <c r="F105" s="467">
        <f t="shared" si="5"/>
        <v>6.4350000000000005</v>
      </c>
      <c r="G105" s="468"/>
    </row>
    <row r="106" spans="1:7" x14ac:dyDescent="0.3">
      <c r="A106" s="472" t="s">
        <v>982</v>
      </c>
      <c r="B106" s="473"/>
      <c r="C106" s="473"/>
      <c r="D106" s="473"/>
      <c r="E106" s="473"/>
      <c r="F106" s="473"/>
      <c r="G106" s="161">
        <f>SUM(F96:G105)</f>
        <v>353.51995249999999</v>
      </c>
    </row>
    <row r="107" spans="1:7" x14ac:dyDescent="0.3">
      <c r="A107" s="476" t="s">
        <v>86</v>
      </c>
      <c r="B107" s="477"/>
      <c r="C107" s="477"/>
      <c r="D107" s="477"/>
      <c r="E107" s="477"/>
      <c r="F107" s="477"/>
      <c r="G107" s="189">
        <f>G106+G94</f>
        <v>1289.800043125</v>
      </c>
    </row>
    <row r="108" spans="1:7" x14ac:dyDescent="0.3">
      <c r="A108" s="171"/>
      <c r="B108" s="154"/>
      <c r="C108" s="154"/>
      <c r="D108" s="154"/>
      <c r="E108" s="154"/>
      <c r="F108" s="154"/>
      <c r="G108" s="141"/>
    </row>
    <row r="109" spans="1:7" ht="15" thickBot="1" x14ac:dyDescent="0.35">
      <c r="A109" s="171"/>
      <c r="B109" s="154"/>
      <c r="C109" s="154"/>
      <c r="D109" s="154"/>
      <c r="E109" s="154"/>
      <c r="F109" s="154"/>
      <c r="G109" s="141"/>
    </row>
    <row r="110" spans="1:7" ht="15" thickBot="1" x14ac:dyDescent="0.35">
      <c r="A110" s="469" t="s">
        <v>1333</v>
      </c>
      <c r="B110" s="470"/>
      <c r="C110" s="470"/>
      <c r="D110" s="470"/>
      <c r="E110" s="470"/>
      <c r="F110" s="470"/>
      <c r="G110" s="471"/>
    </row>
    <row r="111" spans="1:7" x14ac:dyDescent="0.3">
      <c r="A111" s="166" t="s">
        <v>1261</v>
      </c>
      <c r="B111" s="167" t="s">
        <v>1308</v>
      </c>
      <c r="C111" s="168" t="s">
        <v>1309</v>
      </c>
      <c r="D111" s="169" t="s">
        <v>1310</v>
      </c>
      <c r="E111" s="168" t="s">
        <v>1265</v>
      </c>
      <c r="F111" s="169" t="s">
        <v>1311</v>
      </c>
      <c r="G111" s="170" t="s">
        <v>1312</v>
      </c>
    </row>
    <row r="112" spans="1:7" x14ac:dyDescent="0.3">
      <c r="A112" s="160">
        <v>6</v>
      </c>
      <c r="B112" s="4" t="s">
        <v>1313</v>
      </c>
      <c r="C112" s="26">
        <v>7.38</v>
      </c>
      <c r="D112" s="25">
        <v>13.95</v>
      </c>
      <c r="E112" s="26">
        <v>89.05</v>
      </c>
      <c r="F112" s="12">
        <f>(5.41*0.5)/7.2</f>
        <v>0.37569444444444444</v>
      </c>
      <c r="G112" s="161">
        <f>F112*D112</f>
        <v>5.2409374999999994</v>
      </c>
    </row>
    <row r="113" spans="1:7" x14ac:dyDescent="0.3">
      <c r="A113" s="160">
        <v>5</v>
      </c>
      <c r="B113" s="4" t="s">
        <v>1271</v>
      </c>
      <c r="C113" s="26">
        <v>4.63</v>
      </c>
      <c r="D113" s="25">
        <v>8.75</v>
      </c>
      <c r="E113" s="26">
        <v>89.05</v>
      </c>
      <c r="F113" s="12">
        <f>(5.41*40.907)/7.2</f>
        <v>30.737065277777774</v>
      </c>
      <c r="G113" s="161">
        <f>F113*D113</f>
        <v>268.9493211805555</v>
      </c>
    </row>
    <row r="114" spans="1:7" x14ac:dyDescent="0.3">
      <c r="A114" s="160">
        <v>13</v>
      </c>
      <c r="B114" s="4" t="s">
        <v>1314</v>
      </c>
      <c r="C114" s="26">
        <v>7.38</v>
      </c>
      <c r="D114" s="25">
        <v>13.95</v>
      </c>
      <c r="E114" s="26">
        <v>89.05</v>
      </c>
      <c r="F114" s="25">
        <f>(5.41*41.06)/7.2</f>
        <v>30.852027777777778</v>
      </c>
      <c r="G114" s="161">
        <f>F114*D114</f>
        <v>430.38578749999999</v>
      </c>
    </row>
    <row r="115" spans="1:7" x14ac:dyDescent="0.3">
      <c r="A115" s="160">
        <v>4</v>
      </c>
      <c r="B115" s="4" t="s">
        <v>1315</v>
      </c>
      <c r="C115" s="26">
        <v>7.38</v>
      </c>
      <c r="D115" s="25">
        <v>13.95</v>
      </c>
      <c r="E115" s="26">
        <v>89.05</v>
      </c>
      <c r="F115" s="25">
        <f>(5.41*30.406)/7.2</f>
        <v>22.846730555555553</v>
      </c>
      <c r="G115" s="161">
        <f>F115*D115</f>
        <v>318.71189124999995</v>
      </c>
    </row>
    <row r="116" spans="1:7" x14ac:dyDescent="0.3">
      <c r="A116" s="472" t="s">
        <v>982</v>
      </c>
      <c r="B116" s="473"/>
      <c r="C116" s="473"/>
      <c r="D116" s="473"/>
      <c r="E116" s="473"/>
      <c r="F116" s="473"/>
      <c r="G116" s="161">
        <f>SUM(G112:G115)</f>
        <v>1023.2879374305555</v>
      </c>
    </row>
    <row r="117" spans="1:7" x14ac:dyDescent="0.3">
      <c r="A117" s="160" t="s">
        <v>1274</v>
      </c>
      <c r="B117" s="4" t="s">
        <v>1316</v>
      </c>
      <c r="C117" s="26" t="s">
        <v>1317</v>
      </c>
      <c r="D117" s="25" t="s">
        <v>1318</v>
      </c>
      <c r="E117" s="26" t="s">
        <v>1311</v>
      </c>
      <c r="F117" s="467" t="s">
        <v>1319</v>
      </c>
      <c r="G117" s="468"/>
    </row>
    <row r="118" spans="1:7" x14ac:dyDescent="0.3">
      <c r="A118" s="160">
        <v>2437</v>
      </c>
      <c r="B118" s="4" t="s">
        <v>1320</v>
      </c>
      <c r="C118" s="26" t="s">
        <v>1321</v>
      </c>
      <c r="D118" s="25">
        <v>4.28</v>
      </c>
      <c r="E118" s="12">
        <f>(5.41*7.94)/7.2</f>
        <v>5.9660277777777786</v>
      </c>
      <c r="F118" s="467">
        <f>E118*D118</f>
        <v>25.534598888888894</v>
      </c>
      <c r="G118" s="468"/>
    </row>
    <row r="119" spans="1:7" x14ac:dyDescent="0.3">
      <c r="A119" s="160">
        <v>102</v>
      </c>
      <c r="B119" s="4" t="s">
        <v>1322</v>
      </c>
      <c r="C119" s="26" t="s">
        <v>129</v>
      </c>
      <c r="D119" s="25">
        <v>6.75</v>
      </c>
      <c r="E119" s="12">
        <f>(5.41*0.43)/7.2</f>
        <v>0.3230972222222222</v>
      </c>
      <c r="F119" s="467">
        <f t="shared" ref="F119:F127" si="6">E119*D119</f>
        <v>2.18090625</v>
      </c>
      <c r="G119" s="468"/>
    </row>
    <row r="120" spans="1:7" x14ac:dyDescent="0.3">
      <c r="A120" s="160">
        <v>2386</v>
      </c>
      <c r="B120" s="4" t="s">
        <v>1323</v>
      </c>
      <c r="C120" s="26" t="s">
        <v>126</v>
      </c>
      <c r="D120" s="25">
        <v>85.36</v>
      </c>
      <c r="E120" s="12">
        <f>(5.41*0.0585)/7.2</f>
        <v>4.3956250000000002E-2</v>
      </c>
      <c r="F120" s="467">
        <f t="shared" si="6"/>
        <v>3.7521055000000003</v>
      </c>
      <c r="G120" s="468"/>
    </row>
    <row r="121" spans="1:7" x14ac:dyDescent="0.3">
      <c r="A121" s="160">
        <v>2497</v>
      </c>
      <c r="B121" s="4" t="s">
        <v>1324</v>
      </c>
      <c r="C121" s="26" t="s">
        <v>126</v>
      </c>
      <c r="D121" s="25">
        <v>74.900000000000006</v>
      </c>
      <c r="E121" s="12">
        <f>(5.41*0.0585)/7.2</f>
        <v>4.3956250000000002E-2</v>
      </c>
      <c r="F121" s="467">
        <f t="shared" si="6"/>
        <v>3.2923231250000002</v>
      </c>
      <c r="G121" s="468"/>
    </row>
    <row r="122" spans="1:7" x14ac:dyDescent="0.3">
      <c r="A122" s="160">
        <v>2777</v>
      </c>
      <c r="B122" s="4" t="s">
        <v>1325</v>
      </c>
      <c r="C122" s="26" t="s">
        <v>103</v>
      </c>
      <c r="D122" s="25">
        <v>74.900000000000006</v>
      </c>
      <c r="E122" s="12">
        <f>(5.41*0.6157)/7.2</f>
        <v>0.46263013888888888</v>
      </c>
      <c r="F122" s="467">
        <f t="shared" si="6"/>
        <v>34.650997402777783</v>
      </c>
      <c r="G122" s="468"/>
    </row>
    <row r="123" spans="1:7" x14ac:dyDescent="0.3">
      <c r="A123" s="160">
        <v>1215</v>
      </c>
      <c r="B123" s="4" t="s">
        <v>1283</v>
      </c>
      <c r="C123" s="26" t="s">
        <v>129</v>
      </c>
      <c r="D123" s="25">
        <v>0.39</v>
      </c>
      <c r="E123" s="12">
        <f>(5.41*54.8)/7.2</f>
        <v>41.176111111111112</v>
      </c>
      <c r="F123" s="467">
        <f t="shared" si="6"/>
        <v>16.058683333333335</v>
      </c>
      <c r="G123" s="468"/>
    </row>
    <row r="124" spans="1:7" x14ac:dyDescent="0.3">
      <c r="A124" s="160">
        <v>1968</v>
      </c>
      <c r="B124" s="4" t="s">
        <v>1294</v>
      </c>
      <c r="C124" s="26" t="s">
        <v>31</v>
      </c>
      <c r="D124" s="25">
        <v>2.06</v>
      </c>
      <c r="E124" s="12">
        <f>(5.41*5.05)/7.2</f>
        <v>3.7945138888888885</v>
      </c>
      <c r="F124" s="467">
        <f t="shared" si="6"/>
        <v>7.8166986111111108</v>
      </c>
      <c r="G124" s="468"/>
    </row>
    <row r="125" spans="1:7" x14ac:dyDescent="0.3">
      <c r="A125" s="160">
        <v>1861</v>
      </c>
      <c r="B125" s="4" t="s">
        <v>1326</v>
      </c>
      <c r="C125" s="26" t="s">
        <v>129</v>
      </c>
      <c r="D125" s="25">
        <v>5.99</v>
      </c>
      <c r="E125" s="12">
        <f>(5.41*0.1)/7.2</f>
        <v>7.5138888888888894E-2</v>
      </c>
      <c r="F125" s="467">
        <f t="shared" si="6"/>
        <v>0.45008194444444449</v>
      </c>
      <c r="G125" s="468"/>
    </row>
    <row r="126" spans="1:7" x14ac:dyDescent="0.3">
      <c r="A126" s="160">
        <v>2033</v>
      </c>
      <c r="B126" s="4" t="s">
        <v>1327</v>
      </c>
      <c r="C126" s="26" t="s">
        <v>186</v>
      </c>
      <c r="D126" s="25">
        <v>0.3</v>
      </c>
      <c r="E126" s="12">
        <f>(5.41*1267)/7.2</f>
        <v>952.00972222222219</v>
      </c>
      <c r="F126" s="467">
        <f t="shared" si="6"/>
        <v>285.60291666666666</v>
      </c>
      <c r="G126" s="468"/>
    </row>
    <row r="127" spans="1:7" x14ac:dyDescent="0.3">
      <c r="A127" s="160">
        <v>2804</v>
      </c>
      <c r="B127" s="4" t="s">
        <v>1300</v>
      </c>
      <c r="C127" s="26" t="s">
        <v>103</v>
      </c>
      <c r="D127" s="25">
        <v>90</v>
      </c>
      <c r="E127" s="12">
        <f>(5.41*0.104)/7.2</f>
        <v>7.8144444444444447E-2</v>
      </c>
      <c r="F127" s="467">
        <f t="shared" si="6"/>
        <v>7.0330000000000004</v>
      </c>
      <c r="G127" s="468"/>
    </row>
    <row r="128" spans="1:7" x14ac:dyDescent="0.3">
      <c r="A128" s="472" t="s">
        <v>982</v>
      </c>
      <c r="B128" s="473"/>
      <c r="C128" s="473"/>
      <c r="D128" s="473"/>
      <c r="E128" s="473"/>
      <c r="F128" s="473"/>
      <c r="G128" s="161">
        <f>SUM(F118:G127)</f>
        <v>386.37231172222221</v>
      </c>
    </row>
    <row r="129" spans="1:7" x14ac:dyDescent="0.3">
      <c r="A129" s="481" t="s">
        <v>86</v>
      </c>
      <c r="B129" s="482"/>
      <c r="C129" s="482"/>
      <c r="D129" s="482"/>
      <c r="E129" s="482"/>
      <c r="F129" s="483"/>
      <c r="G129" s="172">
        <f>G128+G116</f>
        <v>1409.6602491527779</v>
      </c>
    </row>
    <row r="130" spans="1:7" x14ac:dyDescent="0.3">
      <c r="A130" s="171"/>
      <c r="B130" s="154"/>
      <c r="C130" s="154"/>
      <c r="D130" s="154"/>
      <c r="E130" s="154"/>
      <c r="F130" s="154"/>
      <c r="G130" s="141"/>
    </row>
    <row r="131" spans="1:7" ht="15" thickBot="1" x14ac:dyDescent="0.35">
      <c r="A131" s="171"/>
      <c r="B131" s="154"/>
      <c r="C131" s="154"/>
      <c r="D131" s="154"/>
      <c r="E131" s="154"/>
      <c r="F131" s="154"/>
      <c r="G131" s="141"/>
    </row>
    <row r="132" spans="1:7" ht="15" thickBot="1" x14ac:dyDescent="0.35">
      <c r="A132" s="478" t="s">
        <v>1389</v>
      </c>
      <c r="B132" s="479"/>
      <c r="C132" s="479"/>
      <c r="D132" s="479"/>
      <c r="E132" s="479"/>
      <c r="F132" s="479"/>
      <c r="G132" s="480"/>
    </row>
    <row r="133" spans="1:7" x14ac:dyDescent="0.3">
      <c r="A133" s="166" t="s">
        <v>1372</v>
      </c>
      <c r="B133" s="167" t="s">
        <v>1262</v>
      </c>
      <c r="C133" s="168" t="s">
        <v>1373</v>
      </c>
      <c r="D133" s="169" t="s">
        <v>1374</v>
      </c>
      <c r="E133" s="168" t="s">
        <v>1375</v>
      </c>
      <c r="F133" s="484" t="s">
        <v>1376</v>
      </c>
      <c r="G133" s="485"/>
    </row>
    <row r="134" spans="1:7" ht="28.8" x14ac:dyDescent="0.3">
      <c r="A134" s="160" t="s">
        <v>1377</v>
      </c>
      <c r="B134" s="4" t="s">
        <v>1378</v>
      </c>
      <c r="C134" s="7" t="s">
        <v>129</v>
      </c>
      <c r="D134" s="13">
        <v>78.44</v>
      </c>
      <c r="E134" s="25">
        <v>4.2699999999999996</v>
      </c>
      <c r="F134" s="467">
        <f t="shared" ref="F134:F139" si="7">D134*E134</f>
        <v>334.93879999999996</v>
      </c>
      <c r="G134" s="468"/>
    </row>
    <row r="135" spans="1:7" ht="28.8" x14ac:dyDescent="0.3">
      <c r="A135" s="160" t="s">
        <v>1379</v>
      </c>
      <c r="B135" s="4" t="s">
        <v>1380</v>
      </c>
      <c r="C135" s="7" t="s">
        <v>129</v>
      </c>
      <c r="D135" s="13">
        <v>0.76119999999999999</v>
      </c>
      <c r="E135" s="25">
        <v>15</v>
      </c>
      <c r="F135" s="467">
        <f t="shared" si="7"/>
        <v>11.417999999999999</v>
      </c>
      <c r="G135" s="468"/>
    </row>
    <row r="136" spans="1:7" s="9" customFormat="1" ht="43.2" x14ac:dyDescent="0.3">
      <c r="A136" s="164" t="s">
        <v>1381</v>
      </c>
      <c r="B136" s="8" t="s">
        <v>1382</v>
      </c>
      <c r="C136" s="6" t="s">
        <v>129</v>
      </c>
      <c r="D136" s="14">
        <v>194.51</v>
      </c>
      <c r="E136" s="15">
        <v>6.3</v>
      </c>
      <c r="F136" s="467">
        <f t="shared" si="7"/>
        <v>1225.413</v>
      </c>
      <c r="G136" s="468"/>
    </row>
    <row r="137" spans="1:7" ht="28.8" x14ac:dyDescent="0.3">
      <c r="A137" s="160" t="s">
        <v>1383</v>
      </c>
      <c r="B137" s="4" t="s">
        <v>1384</v>
      </c>
      <c r="C137" s="7" t="s">
        <v>964</v>
      </c>
      <c r="D137" s="13">
        <v>4.1500000000000004</v>
      </c>
      <c r="E137" s="25">
        <v>23.23</v>
      </c>
      <c r="F137" s="467">
        <f t="shared" si="7"/>
        <v>96.404500000000013</v>
      </c>
      <c r="G137" s="468"/>
    </row>
    <row r="138" spans="1:7" x14ac:dyDescent="0.3">
      <c r="A138" s="160" t="s">
        <v>1385</v>
      </c>
      <c r="B138" s="4" t="s">
        <v>1386</v>
      </c>
      <c r="C138" s="7" t="s">
        <v>964</v>
      </c>
      <c r="D138" s="13">
        <v>0.95599999999999996</v>
      </c>
      <c r="E138" s="25">
        <v>13.15</v>
      </c>
      <c r="F138" s="467">
        <f t="shared" si="7"/>
        <v>12.571400000000001</v>
      </c>
      <c r="G138" s="468"/>
    </row>
    <row r="139" spans="1:7" s="10" customFormat="1" x14ac:dyDescent="0.3">
      <c r="A139" s="164" t="s">
        <v>1387</v>
      </c>
      <c r="B139" s="8" t="s">
        <v>1388</v>
      </c>
      <c r="C139" s="6" t="s">
        <v>1373</v>
      </c>
      <c r="D139" s="16">
        <v>1</v>
      </c>
      <c r="E139" s="188">
        <v>433.37</v>
      </c>
      <c r="F139" s="467">
        <f t="shared" si="7"/>
        <v>433.37</v>
      </c>
      <c r="G139" s="468"/>
    </row>
    <row r="140" spans="1:7" ht="15" thickBot="1" x14ac:dyDescent="0.35">
      <c r="A140" s="472" t="s">
        <v>64</v>
      </c>
      <c r="B140" s="473"/>
      <c r="C140" s="473"/>
      <c r="D140" s="473"/>
      <c r="E140" s="473"/>
      <c r="F140" s="467">
        <f>SUM(F134:F139)</f>
        <v>2114.1157000000003</v>
      </c>
      <c r="G140" s="468"/>
    </row>
    <row r="141" spans="1:7" x14ac:dyDescent="0.3">
      <c r="A141" s="130"/>
      <c r="B141" s="131"/>
      <c r="C141" s="132"/>
      <c r="D141" s="5"/>
      <c r="E141" s="133"/>
      <c r="F141" s="134"/>
      <c r="G141" s="155"/>
    </row>
    <row r="142" spans="1:7" x14ac:dyDescent="0.3">
      <c r="A142" s="135"/>
      <c r="B142" s="136"/>
      <c r="C142" s="137"/>
      <c r="D142" s="1"/>
      <c r="E142" s="138"/>
      <c r="F142" s="139"/>
      <c r="G142" s="156"/>
    </row>
    <row r="143" spans="1:7" x14ac:dyDescent="0.3">
      <c r="A143" s="135"/>
      <c r="B143" s="1" t="s">
        <v>1501</v>
      </c>
      <c r="C143" s="137"/>
      <c r="D143" s="1"/>
      <c r="E143" s="138" t="s">
        <v>1501</v>
      </c>
      <c r="F143" s="1"/>
      <c r="G143" s="156"/>
    </row>
    <row r="144" spans="1:7" x14ac:dyDescent="0.3">
      <c r="A144" s="135"/>
      <c r="B144" s="142" t="s">
        <v>1502</v>
      </c>
      <c r="C144" s="137"/>
      <c r="D144" s="1"/>
      <c r="E144" s="143" t="s">
        <v>1503</v>
      </c>
      <c r="F144" s="142"/>
      <c r="G144" s="156"/>
    </row>
    <row r="145" spans="1:7" x14ac:dyDescent="0.3">
      <c r="A145" s="144"/>
      <c r="B145" s="142" t="s">
        <v>1504</v>
      </c>
      <c r="C145" s="137"/>
      <c r="D145" s="1"/>
      <c r="E145" s="143" t="s">
        <v>1505</v>
      </c>
      <c r="F145" s="142"/>
      <c r="G145" s="157"/>
    </row>
    <row r="146" spans="1:7" x14ac:dyDescent="0.3">
      <c r="A146" s="144"/>
      <c r="B146" s="142" t="s">
        <v>1506</v>
      </c>
      <c r="C146" s="137"/>
      <c r="D146" s="1"/>
      <c r="E146" s="143" t="s">
        <v>1507</v>
      </c>
      <c r="F146" s="142"/>
      <c r="G146" s="157"/>
    </row>
    <row r="147" spans="1:7" x14ac:dyDescent="0.3">
      <c r="A147" s="144"/>
      <c r="B147" s="136"/>
      <c r="C147" s="137"/>
      <c r="D147" s="1"/>
      <c r="E147" s="146"/>
      <c r="F147" s="140"/>
      <c r="G147" s="157"/>
    </row>
    <row r="148" spans="1:7" x14ac:dyDescent="0.3">
      <c r="A148" s="144"/>
      <c r="B148" s="1" t="s">
        <v>1501</v>
      </c>
      <c r="C148" s="137"/>
      <c r="D148" s="1"/>
      <c r="E148" s="138" t="s">
        <v>1501</v>
      </c>
      <c r="F148" s="1"/>
      <c r="G148" s="157"/>
    </row>
    <row r="149" spans="1:7" x14ac:dyDescent="0.3">
      <c r="A149" s="144"/>
      <c r="B149" s="142" t="s">
        <v>1508</v>
      </c>
      <c r="C149" s="137"/>
      <c r="D149" s="1"/>
      <c r="E149" s="143" t="s">
        <v>1509</v>
      </c>
      <c r="F149" s="24"/>
      <c r="G149" s="157"/>
    </row>
    <row r="150" spans="1:7" x14ac:dyDescent="0.3">
      <c r="A150" s="148"/>
      <c r="B150" s="142" t="s">
        <v>1505</v>
      </c>
      <c r="C150" s="137"/>
      <c r="D150" s="1"/>
      <c r="E150" s="143" t="s">
        <v>1510</v>
      </c>
      <c r="F150" s="142"/>
      <c r="G150" s="158"/>
    </row>
    <row r="151" spans="1:7" x14ac:dyDescent="0.3">
      <c r="A151" s="148"/>
      <c r="B151" s="142" t="s">
        <v>1511</v>
      </c>
      <c r="C151" s="145"/>
      <c r="D151" s="142"/>
      <c r="E151" s="143" t="s">
        <v>1512</v>
      </c>
      <c r="F151" s="142"/>
      <c r="G151" s="158"/>
    </row>
    <row r="152" spans="1:7" x14ac:dyDescent="0.3">
      <c r="A152" s="144"/>
      <c r="B152" s="136"/>
      <c r="C152" s="137"/>
      <c r="D152" s="1"/>
      <c r="E152" s="146"/>
      <c r="F152" s="140"/>
      <c r="G152" s="157"/>
    </row>
    <row r="153" spans="1:7" x14ac:dyDescent="0.3">
      <c r="A153" s="144"/>
      <c r="B153" s="1" t="s">
        <v>1501</v>
      </c>
      <c r="C153" s="137"/>
      <c r="D153" s="1"/>
      <c r="E153" s="138"/>
      <c r="F153" s="1"/>
      <c r="G153" s="157"/>
    </row>
    <row r="154" spans="1:7" x14ac:dyDescent="0.3">
      <c r="A154" s="144"/>
      <c r="B154" s="142" t="s">
        <v>1514</v>
      </c>
      <c r="C154" s="137"/>
      <c r="D154" s="1"/>
      <c r="E154" s="147"/>
      <c r="F154" s="24"/>
      <c r="G154" s="157"/>
    </row>
    <row r="155" spans="1:7" x14ac:dyDescent="0.3">
      <c r="A155" s="148"/>
      <c r="B155" s="142" t="s">
        <v>1510</v>
      </c>
      <c r="C155" s="137"/>
      <c r="D155" s="1"/>
      <c r="E155" s="143"/>
      <c r="F155" s="142"/>
      <c r="G155" s="158"/>
    </row>
    <row r="156" spans="1:7" ht="15" thickBot="1" x14ac:dyDescent="0.35">
      <c r="A156" s="149"/>
      <c r="B156" s="150" t="s">
        <v>1513</v>
      </c>
      <c r="C156" s="151"/>
      <c r="D156" s="150"/>
      <c r="E156" s="152"/>
      <c r="F156" s="150"/>
      <c r="G156" s="159"/>
    </row>
    <row r="157" spans="1:7" x14ac:dyDescent="0.3">
      <c r="A157" s="154"/>
      <c r="B157" s="154"/>
      <c r="C157" s="154"/>
      <c r="D157" s="154"/>
      <c r="E157" s="154"/>
      <c r="F157" s="153"/>
      <c r="G157" s="153"/>
    </row>
  </sheetData>
  <sheetProtection selectLockedCells="1"/>
  <mergeCells count="101">
    <mergeCell ref="A140:E140"/>
    <mergeCell ref="F133:G133"/>
    <mergeCell ref="F134:G134"/>
    <mergeCell ref="F135:G135"/>
    <mergeCell ref="F136:G136"/>
    <mergeCell ref="F137:G137"/>
    <mergeCell ref="F138:G138"/>
    <mergeCell ref="F139:G139"/>
    <mergeCell ref="F140:G140"/>
    <mergeCell ref="A132:G132"/>
    <mergeCell ref="A128:F128"/>
    <mergeCell ref="A129:F129"/>
    <mergeCell ref="F121:G121"/>
    <mergeCell ref="F122:G122"/>
    <mergeCell ref="F123:G123"/>
    <mergeCell ref="F124:G124"/>
    <mergeCell ref="F125:G125"/>
    <mergeCell ref="F126:G126"/>
    <mergeCell ref="F105:G105"/>
    <mergeCell ref="A106:F106"/>
    <mergeCell ref="A107:F107"/>
    <mergeCell ref="A110:G110"/>
    <mergeCell ref="F127:G127"/>
    <mergeCell ref="F100:G100"/>
    <mergeCell ref="F101:G101"/>
    <mergeCell ref="F102:G102"/>
    <mergeCell ref="F103:G103"/>
    <mergeCell ref="F104:G104"/>
    <mergeCell ref="F117:G117"/>
    <mergeCell ref="F118:G118"/>
    <mergeCell ref="F119:G119"/>
    <mergeCell ref="F120:G120"/>
    <mergeCell ref="A116:F116"/>
    <mergeCell ref="F98:G98"/>
    <mergeCell ref="F99:G99"/>
    <mergeCell ref="F80:G80"/>
    <mergeCell ref="A65:G65"/>
    <mergeCell ref="A71:F71"/>
    <mergeCell ref="F72:G72"/>
    <mergeCell ref="F73:G73"/>
    <mergeCell ref="F74:G74"/>
    <mergeCell ref="F75:G75"/>
    <mergeCell ref="F76:G76"/>
    <mergeCell ref="F77:G77"/>
    <mergeCell ref="F78:G78"/>
    <mergeCell ref="F79:G79"/>
    <mergeCell ref="F81:G81"/>
    <mergeCell ref="F82:G82"/>
    <mergeCell ref="A83:F83"/>
    <mergeCell ref="A84:F84"/>
    <mergeCell ref="A88:G88"/>
    <mergeCell ref="A94:F94"/>
    <mergeCell ref="F95:G95"/>
    <mergeCell ref="F96:G96"/>
    <mergeCell ref="F97:G97"/>
    <mergeCell ref="F59:G59"/>
    <mergeCell ref="F60:G60"/>
    <mergeCell ref="A61:F61"/>
    <mergeCell ref="A62:F62"/>
    <mergeCell ref="F53:G53"/>
    <mergeCell ref="F54:G54"/>
    <mergeCell ref="F55:G55"/>
    <mergeCell ref="F56:G56"/>
    <mergeCell ref="F57:G57"/>
    <mergeCell ref="F58:G58"/>
    <mergeCell ref="F52:G52"/>
    <mergeCell ref="A41:F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A33:G33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A29:F29"/>
    <mergeCell ref="A30:F30"/>
    <mergeCell ref="F19:G19"/>
    <mergeCell ref="A1:G1"/>
    <mergeCell ref="A9:F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</mergeCells>
  <pageMargins left="0.511811024" right="0.511811024" top="0.78740157499999996" bottom="0.78740157499999996" header="0.31496062000000002" footer="0.31496062000000002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ORÇAMENTO</vt:lpstr>
      <vt:lpstr>MEMÓRIA DE CÁLCULO</vt:lpstr>
      <vt:lpstr>Composição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2020-04-23T17:57:30Z</dcterms:modified>
</cp:coreProperties>
</file>