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25620" yWindow="465" windowWidth="20505" windowHeight="20415"/>
  </bookViews>
  <sheets>
    <sheet name="Orçamento" sheetId="2" r:id="rId1"/>
    <sheet name="Memória de cálculo" sheetId="1" state="hidden" r:id="rId2"/>
    <sheet name="Cronograma" sheetId="3" state="hidden" r:id="rId3"/>
    <sheet name="BDI" sheetId="4" state="hidden" r:id="rId4"/>
  </sheets>
  <definedNames>
    <definedName name="_xlnm.Print_Area" localSheetId="3">BDI!$D$2:$F$33</definedName>
    <definedName name="_xlnm.Print_Area" localSheetId="2">Cronograma!$B$2:$U$31</definedName>
    <definedName name="_xlnm.Print_Area" localSheetId="1">'Memória de cálculo'!$B$2:$H$543</definedName>
    <definedName name="_xlnm.Print_Area" localSheetId="0">Orçamento!$B$2:$J$179</definedName>
    <definedName name="_xlnm.Print_Titles" localSheetId="1">'Memória de cálculo'!$9:$9</definedName>
    <definedName name="_xlnm.Print_Titles" localSheetId="0">Orçamento!$10:$10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24" i="1" l="1"/>
  <c r="H524" i="1"/>
  <c r="F165" i="2"/>
  <c r="H322" i="1"/>
  <c r="H323" i="1"/>
  <c r="H324" i="1"/>
  <c r="H325" i="1"/>
  <c r="H326" i="1"/>
  <c r="E516" i="1"/>
  <c r="H516" i="1"/>
  <c r="H328" i="1"/>
  <c r="E517" i="1"/>
  <c r="H517" i="1"/>
  <c r="H330" i="1"/>
  <c r="H331" i="1"/>
  <c r="E518" i="1"/>
  <c r="H518" i="1"/>
  <c r="H333" i="1"/>
  <c r="E519" i="1"/>
  <c r="H519" i="1"/>
  <c r="H335" i="1"/>
  <c r="H336" i="1"/>
  <c r="E520" i="1"/>
  <c r="H520" i="1"/>
  <c r="H338" i="1"/>
  <c r="E521" i="1"/>
  <c r="H521" i="1"/>
  <c r="H340" i="1"/>
  <c r="E522" i="1"/>
  <c r="H522" i="1"/>
  <c r="F164" i="2"/>
  <c r="H512" i="1"/>
  <c r="H513" i="1"/>
  <c r="H514" i="1"/>
  <c r="F163" i="2"/>
  <c r="H509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H382" i="1"/>
  <c r="D510" i="1"/>
  <c r="H510" i="1"/>
  <c r="F162" i="2"/>
  <c r="H507" i="1"/>
  <c r="F161" i="2"/>
  <c r="H504" i="1"/>
  <c r="D505" i="1"/>
  <c r="H505" i="1"/>
  <c r="F160" i="2"/>
  <c r="H501" i="1"/>
  <c r="H502" i="1"/>
  <c r="F159" i="2"/>
  <c r="F158" i="2"/>
  <c r="H320" i="1"/>
  <c r="E495" i="1"/>
  <c r="H495" i="1"/>
  <c r="F157" i="2"/>
  <c r="E493" i="1"/>
  <c r="H493" i="1"/>
  <c r="F156" i="2"/>
  <c r="J156" i="2"/>
  <c r="J157" i="2"/>
  <c r="J158" i="2"/>
  <c r="J159" i="2"/>
  <c r="J160" i="2"/>
  <c r="J161" i="2"/>
  <c r="J162" i="2"/>
  <c r="J163" i="2"/>
  <c r="J164" i="2"/>
  <c r="J165" i="2"/>
  <c r="F166" i="2"/>
  <c r="J166" i="2"/>
  <c r="H528" i="1"/>
  <c r="H529" i="1"/>
  <c r="H530" i="1"/>
  <c r="H531" i="1"/>
  <c r="H532" i="1"/>
  <c r="H533" i="1"/>
  <c r="H534" i="1"/>
  <c r="H535" i="1"/>
  <c r="F167" i="2"/>
  <c r="J167" i="2"/>
  <c r="F168" i="2"/>
  <c r="J168" i="2"/>
  <c r="J169" i="2"/>
  <c r="H442" i="1"/>
  <c r="G367" i="1"/>
  <c r="G366" i="1"/>
  <c r="G365" i="1"/>
  <c r="G364" i="1"/>
  <c r="G354" i="1"/>
  <c r="G355" i="1"/>
  <c r="G356" i="1"/>
  <c r="G357" i="1"/>
  <c r="G358" i="1"/>
  <c r="G359" i="1"/>
  <c r="G360" i="1"/>
  <c r="G361" i="1"/>
  <c r="G362" i="1"/>
  <c r="G363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52" i="1"/>
  <c r="B8" i="1"/>
  <c r="D7" i="3"/>
  <c r="G353" i="1"/>
  <c r="H352" i="1"/>
  <c r="H269" i="1"/>
  <c r="H270" i="1"/>
  <c r="H271" i="1"/>
  <c r="H272" i="1"/>
  <c r="H273" i="1"/>
  <c r="H274" i="1"/>
  <c r="H275" i="1"/>
  <c r="H276" i="1"/>
  <c r="H488" i="1"/>
  <c r="F152" i="2"/>
  <c r="H490" i="1"/>
  <c r="F153" i="2"/>
  <c r="H472" i="1"/>
  <c r="H473" i="1"/>
  <c r="H474" i="1"/>
  <c r="H475" i="1"/>
  <c r="H476" i="1"/>
  <c r="H477" i="1"/>
  <c r="H478" i="1"/>
  <c r="H479" i="1"/>
  <c r="H480" i="1"/>
  <c r="H481" i="1"/>
  <c r="F147" i="2"/>
  <c r="H431" i="1"/>
  <c r="H432" i="1"/>
  <c r="H433" i="1"/>
  <c r="H434" i="1"/>
  <c r="H435" i="1"/>
  <c r="H436" i="1"/>
  <c r="H437" i="1"/>
  <c r="H438" i="1"/>
  <c r="H439" i="1"/>
  <c r="H440" i="1"/>
  <c r="F145" i="2"/>
  <c r="H428" i="1"/>
  <c r="F144" i="2"/>
  <c r="H422" i="1"/>
  <c r="H423" i="1"/>
  <c r="H421" i="1"/>
  <c r="H424" i="1"/>
  <c r="H425" i="1"/>
  <c r="H426" i="1"/>
  <c r="F143" i="2"/>
  <c r="H418" i="1"/>
  <c r="H419" i="1"/>
  <c r="H417" i="1"/>
  <c r="F142" i="2"/>
  <c r="H414" i="1"/>
  <c r="H415" i="1"/>
  <c r="H413" i="1"/>
  <c r="F141" i="2"/>
  <c r="F13" i="4"/>
  <c r="E18" i="4"/>
  <c r="I172" i="2"/>
  <c r="K169" i="2"/>
  <c r="H350" i="1"/>
  <c r="F137" i="2"/>
  <c r="J137" i="2"/>
  <c r="E348" i="1"/>
  <c r="H348" i="1"/>
  <c r="F136" i="2"/>
  <c r="J136" i="2"/>
  <c r="F138" i="2"/>
  <c r="J138" i="2"/>
  <c r="F139" i="2"/>
  <c r="J139" i="2"/>
  <c r="G402" i="1"/>
  <c r="G403" i="1"/>
  <c r="G404" i="1"/>
  <c r="G405" i="1"/>
  <c r="G406" i="1"/>
  <c r="G407" i="1"/>
  <c r="G408" i="1"/>
  <c r="G409" i="1"/>
  <c r="G410" i="1"/>
  <c r="G411" i="1"/>
  <c r="H402" i="1"/>
  <c r="F140" i="2"/>
  <c r="J140" i="2"/>
  <c r="J141" i="2"/>
  <c r="J142" i="2"/>
  <c r="J143" i="2"/>
  <c r="J144" i="2"/>
  <c r="J145" i="2"/>
  <c r="F146" i="2"/>
  <c r="J146" i="2"/>
  <c r="J147" i="2"/>
  <c r="J148" i="2"/>
  <c r="K148" i="2"/>
  <c r="F12" i="2"/>
  <c r="J12" i="2"/>
  <c r="F13" i="2"/>
  <c r="J13" i="2"/>
  <c r="F14" i="2"/>
  <c r="J14" i="2"/>
  <c r="F15" i="2"/>
  <c r="J15" i="2"/>
  <c r="H64" i="1"/>
  <c r="F16" i="2"/>
  <c r="J16" i="2"/>
  <c r="F17" i="2"/>
  <c r="J17" i="2"/>
  <c r="F18" i="2"/>
  <c r="J18" i="2"/>
  <c r="F19" i="2"/>
  <c r="J19" i="2"/>
  <c r="F20" i="2"/>
  <c r="J20" i="2"/>
  <c r="F21" i="2"/>
  <c r="J21" i="2"/>
  <c r="H93" i="1"/>
  <c r="F22" i="2"/>
  <c r="J22" i="2"/>
  <c r="F23" i="2"/>
  <c r="J23" i="2"/>
  <c r="H97" i="1"/>
  <c r="F24" i="2"/>
  <c r="J24" i="2"/>
  <c r="H99" i="1"/>
  <c r="F25" i="2"/>
  <c r="J25" i="2"/>
  <c r="F26" i="2"/>
  <c r="J26" i="2"/>
  <c r="H103" i="1"/>
  <c r="H104" i="1"/>
  <c r="F27" i="2"/>
  <c r="J27" i="2"/>
  <c r="H106" i="1"/>
  <c r="F28" i="2"/>
  <c r="J28" i="2"/>
  <c r="J29" i="2"/>
  <c r="K29" i="2"/>
  <c r="E109" i="1"/>
  <c r="H109" i="1"/>
  <c r="E110" i="1"/>
  <c r="H110" i="1"/>
  <c r="E111" i="1"/>
  <c r="H111" i="1"/>
  <c r="E112" i="1"/>
  <c r="H112" i="1"/>
  <c r="E113" i="1"/>
  <c r="H113" i="1"/>
  <c r="E114" i="1"/>
  <c r="H114" i="1"/>
  <c r="E115" i="1"/>
  <c r="H115" i="1"/>
  <c r="E116" i="1"/>
  <c r="H116" i="1"/>
  <c r="E117" i="1"/>
  <c r="H117" i="1"/>
  <c r="F31" i="2"/>
  <c r="J31" i="2"/>
  <c r="J32" i="2"/>
  <c r="K32" i="2"/>
  <c r="H120" i="1"/>
  <c r="F34" i="2"/>
  <c r="J34" i="2"/>
  <c r="H122" i="1"/>
  <c r="H123" i="1"/>
  <c r="F35" i="2"/>
  <c r="J35" i="2"/>
  <c r="F36" i="2"/>
  <c r="J36" i="2"/>
  <c r="H127" i="1"/>
  <c r="F37" i="2"/>
  <c r="J37" i="2"/>
  <c r="H129" i="1"/>
  <c r="F38" i="2"/>
  <c r="J38" i="2"/>
  <c r="H131" i="1"/>
  <c r="F39" i="2"/>
  <c r="J39" i="2"/>
  <c r="H133" i="1"/>
  <c r="H134" i="1"/>
  <c r="F40" i="2"/>
  <c r="J40" i="2"/>
  <c r="H136" i="1"/>
  <c r="F41" i="2"/>
  <c r="J41" i="2"/>
  <c r="H139" i="1"/>
  <c r="H140" i="1"/>
  <c r="H138" i="1"/>
  <c r="F42" i="2"/>
  <c r="J42" i="2"/>
  <c r="H143" i="1"/>
  <c r="H144" i="1"/>
  <c r="H142" i="1"/>
  <c r="F43" i="2"/>
  <c r="J43" i="2"/>
  <c r="J44" i="2"/>
  <c r="K44" i="2"/>
  <c r="F46" i="2"/>
  <c r="J46" i="2"/>
  <c r="F47" i="2"/>
  <c r="J47" i="2"/>
  <c r="F48" i="2"/>
  <c r="J48" i="2"/>
  <c r="F49" i="2"/>
  <c r="J49" i="2"/>
  <c r="F50" i="2"/>
  <c r="J50" i="2"/>
  <c r="F51" i="2"/>
  <c r="J51" i="2"/>
  <c r="F52" i="2"/>
  <c r="J52" i="2"/>
  <c r="F53" i="2"/>
  <c r="J53" i="2"/>
  <c r="F54" i="2"/>
  <c r="J54" i="2"/>
  <c r="F55" i="2"/>
  <c r="J55" i="2"/>
  <c r="F56" i="2"/>
  <c r="J56" i="2"/>
  <c r="F57" i="2"/>
  <c r="J57" i="2"/>
  <c r="F58" i="2"/>
  <c r="J58" i="2"/>
  <c r="F59" i="2"/>
  <c r="J59" i="2"/>
  <c r="F60" i="2"/>
  <c r="J60" i="2"/>
  <c r="F61" i="2"/>
  <c r="J61" i="2"/>
  <c r="F62" i="2"/>
  <c r="J62" i="2"/>
  <c r="F63" i="2"/>
  <c r="J63" i="2"/>
  <c r="F64" i="2"/>
  <c r="J64" i="2"/>
  <c r="F65" i="2"/>
  <c r="J65" i="2"/>
  <c r="J66" i="2"/>
  <c r="K66" i="2"/>
  <c r="F68" i="2"/>
  <c r="J68" i="2"/>
  <c r="F69" i="2"/>
  <c r="J69" i="2"/>
  <c r="F70" i="2"/>
  <c r="J70" i="2"/>
  <c r="F71" i="2"/>
  <c r="J71" i="2"/>
  <c r="F72" i="2"/>
  <c r="J72" i="2"/>
  <c r="F73" i="2"/>
  <c r="J73" i="2"/>
  <c r="F74" i="2"/>
  <c r="J74" i="2"/>
  <c r="F75" i="2"/>
  <c r="J75" i="2"/>
  <c r="F76" i="2"/>
  <c r="J76" i="2"/>
  <c r="F77" i="2"/>
  <c r="J77" i="2"/>
  <c r="F78" i="2"/>
  <c r="J78" i="2"/>
  <c r="F79" i="2"/>
  <c r="J79" i="2"/>
  <c r="F80" i="2"/>
  <c r="J80" i="2"/>
  <c r="F81" i="2"/>
  <c r="J81" i="2"/>
  <c r="F82" i="2"/>
  <c r="J82" i="2"/>
  <c r="F83" i="2"/>
  <c r="J83" i="2"/>
  <c r="F84" i="2"/>
  <c r="J84" i="2"/>
  <c r="F85" i="2"/>
  <c r="J85" i="2"/>
  <c r="F86" i="2"/>
  <c r="J86" i="2"/>
  <c r="F87" i="2"/>
  <c r="J87" i="2"/>
  <c r="F88" i="2"/>
  <c r="J88" i="2"/>
  <c r="F89" i="2"/>
  <c r="J89" i="2"/>
  <c r="F90" i="2"/>
  <c r="J90" i="2"/>
  <c r="F91" i="2"/>
  <c r="J91" i="2"/>
  <c r="F92" i="2"/>
  <c r="J92" i="2"/>
  <c r="F93" i="2"/>
  <c r="J93" i="2"/>
  <c r="F94" i="2"/>
  <c r="J94" i="2"/>
  <c r="F95" i="2"/>
  <c r="J95" i="2"/>
  <c r="F96" i="2"/>
  <c r="J96" i="2"/>
  <c r="F97" i="2"/>
  <c r="J97" i="2"/>
  <c r="F98" i="2"/>
  <c r="J98" i="2"/>
  <c r="F99" i="2"/>
  <c r="J99" i="2"/>
  <c r="F100" i="2"/>
  <c r="J100" i="2"/>
  <c r="F101" i="2"/>
  <c r="J101" i="2"/>
  <c r="F102" i="2"/>
  <c r="J102" i="2"/>
  <c r="F103" i="2"/>
  <c r="J103" i="2"/>
  <c r="F104" i="2"/>
  <c r="J104" i="2"/>
  <c r="F105" i="2"/>
  <c r="J105" i="2"/>
  <c r="F107" i="2"/>
  <c r="J107" i="2"/>
  <c r="J106" i="2"/>
  <c r="J108" i="2"/>
  <c r="K108" i="2"/>
  <c r="F110" i="2"/>
  <c r="J110" i="2"/>
  <c r="H278" i="1"/>
  <c r="H279" i="1"/>
  <c r="F111" i="2"/>
  <c r="J111" i="2"/>
  <c r="H281" i="1"/>
  <c r="H282" i="1"/>
  <c r="H283" i="1"/>
  <c r="H284" i="1"/>
  <c r="H285" i="1"/>
  <c r="H286" i="1"/>
  <c r="F112" i="2"/>
  <c r="J112" i="2"/>
  <c r="H288" i="1"/>
  <c r="H289" i="1"/>
  <c r="H290" i="1"/>
  <c r="H291" i="1"/>
  <c r="H292" i="1"/>
  <c r="F113" i="2"/>
  <c r="J113" i="2"/>
  <c r="J114" i="2"/>
  <c r="K114" i="2"/>
  <c r="H296" i="1"/>
  <c r="H297" i="1"/>
  <c r="H295" i="1"/>
  <c r="F116" i="2"/>
  <c r="J116" i="2"/>
  <c r="H300" i="1"/>
  <c r="H299" i="1"/>
  <c r="F117" i="2"/>
  <c r="J117" i="2"/>
  <c r="H303" i="1"/>
  <c r="H304" i="1"/>
  <c r="H302" i="1"/>
  <c r="F118" i="2"/>
  <c r="J118" i="2"/>
  <c r="H307" i="1"/>
  <c r="F119" i="2"/>
  <c r="J119" i="2"/>
  <c r="F120" i="2"/>
  <c r="J120" i="2"/>
  <c r="H313" i="1"/>
  <c r="H314" i="1"/>
  <c r="H315" i="1"/>
  <c r="F121" i="2"/>
  <c r="J121" i="2"/>
  <c r="J122" i="2"/>
  <c r="K122" i="2"/>
  <c r="H318" i="1"/>
  <c r="F124" i="2"/>
  <c r="J124" i="2"/>
  <c r="F125" i="2"/>
  <c r="J125" i="2"/>
  <c r="F126" i="2"/>
  <c r="J126" i="2"/>
  <c r="F127" i="2"/>
  <c r="J127" i="2"/>
  <c r="F128" i="2"/>
  <c r="J128" i="2"/>
  <c r="F129" i="2"/>
  <c r="J129" i="2"/>
  <c r="F130" i="2"/>
  <c r="J130" i="2"/>
  <c r="F131" i="2"/>
  <c r="J131" i="2"/>
  <c r="F132" i="2"/>
  <c r="J132" i="2"/>
  <c r="E342" i="1"/>
  <c r="H342" i="1"/>
  <c r="E343" i="1"/>
  <c r="H343" i="1"/>
  <c r="E344" i="1"/>
  <c r="H344" i="1"/>
  <c r="E345" i="1"/>
  <c r="H345" i="1"/>
  <c r="F133" i="2"/>
  <c r="J133" i="2"/>
  <c r="J134" i="2"/>
  <c r="K134" i="2"/>
  <c r="H484" i="1"/>
  <c r="F150" i="2"/>
  <c r="J150" i="2"/>
  <c r="H486" i="1"/>
  <c r="F151" i="2"/>
  <c r="J151" i="2"/>
  <c r="J152" i="2"/>
  <c r="J153" i="2"/>
  <c r="J154" i="2"/>
  <c r="K154" i="2"/>
  <c r="K171" i="2"/>
  <c r="D489" i="1"/>
  <c r="D485" i="1"/>
  <c r="C489" i="1"/>
  <c r="C485" i="1"/>
  <c r="B489" i="1"/>
  <c r="B487" i="1"/>
  <c r="B485" i="1"/>
  <c r="C319" i="1"/>
  <c r="D90" i="1"/>
  <c r="J171" i="2"/>
  <c r="J172" i="2"/>
  <c r="G381" i="1"/>
  <c r="F381" i="1"/>
  <c r="E308" i="1"/>
  <c r="C281" i="1"/>
  <c r="D126" i="1"/>
  <c r="C126" i="1"/>
  <c r="C141" i="1"/>
  <c r="C137" i="1"/>
  <c r="C135" i="1"/>
  <c r="C132" i="1"/>
  <c r="C130" i="1"/>
  <c r="C128" i="1"/>
  <c r="D101" i="1"/>
  <c r="D207" i="1"/>
  <c r="C207" i="1"/>
  <c r="B207" i="1"/>
  <c r="D92" i="1"/>
  <c r="C92" i="1"/>
  <c r="B92" i="1"/>
  <c r="T12" i="3"/>
  <c r="T13" i="3"/>
  <c r="T14" i="3"/>
  <c r="T15" i="3"/>
  <c r="T16" i="3"/>
  <c r="T17" i="3"/>
  <c r="T18" i="3"/>
  <c r="T19" i="3"/>
  <c r="T20" i="3"/>
  <c r="T21" i="3"/>
  <c r="T22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S23" i="3"/>
  <c r="T23" i="3"/>
  <c r="S24" i="3"/>
  <c r="R23" i="3"/>
  <c r="R24" i="3"/>
  <c r="Q23" i="3"/>
  <c r="Q24" i="3"/>
  <c r="P23" i="3"/>
  <c r="P24" i="3"/>
  <c r="D527" i="1"/>
  <c r="D525" i="1"/>
  <c r="D523" i="1"/>
  <c r="C527" i="1"/>
  <c r="C525" i="1"/>
  <c r="C523" i="1"/>
  <c r="B527" i="1"/>
  <c r="B525" i="1"/>
  <c r="B523" i="1"/>
  <c r="D441" i="1"/>
  <c r="D430" i="1"/>
  <c r="D427" i="1"/>
  <c r="C441" i="1"/>
  <c r="C430" i="1"/>
  <c r="C427" i="1"/>
  <c r="B441" i="1"/>
  <c r="B430" i="1"/>
  <c r="B427" i="1"/>
  <c r="D339" i="1"/>
  <c r="D337" i="1"/>
  <c r="D334" i="1"/>
  <c r="D332" i="1"/>
  <c r="D329" i="1"/>
  <c r="D327" i="1"/>
  <c r="D321" i="1"/>
  <c r="D319" i="1"/>
  <c r="C339" i="1"/>
  <c r="C337" i="1"/>
  <c r="C334" i="1"/>
  <c r="C332" i="1"/>
  <c r="C329" i="1"/>
  <c r="C327" i="1"/>
  <c r="C321" i="1"/>
  <c r="B339" i="1"/>
  <c r="B337" i="1"/>
  <c r="B334" i="1"/>
  <c r="B332" i="1"/>
  <c r="B329" i="1"/>
  <c r="B327" i="1"/>
  <c r="B321" i="1"/>
  <c r="B319" i="1"/>
  <c r="D280" i="1"/>
  <c r="D277" i="1"/>
  <c r="C280" i="1"/>
  <c r="C277" i="1"/>
  <c r="B280" i="1"/>
  <c r="B277" i="1"/>
  <c r="D265" i="1"/>
  <c r="D263" i="1"/>
  <c r="D261" i="1"/>
  <c r="D259" i="1"/>
  <c r="D257" i="1"/>
  <c r="D255" i="1"/>
  <c r="D253" i="1"/>
  <c r="D251" i="1"/>
  <c r="D249" i="1"/>
  <c r="D247" i="1"/>
  <c r="D245" i="1"/>
  <c r="D243" i="1"/>
  <c r="D241" i="1"/>
  <c r="D239" i="1"/>
  <c r="D237" i="1"/>
  <c r="D235" i="1"/>
  <c r="D233" i="1"/>
  <c r="D231" i="1"/>
  <c r="D229" i="1"/>
  <c r="D227" i="1"/>
  <c r="D225" i="1"/>
  <c r="D223" i="1"/>
  <c r="D221" i="1"/>
  <c r="D219" i="1"/>
  <c r="C265" i="1"/>
  <c r="C263" i="1"/>
  <c r="C261" i="1"/>
  <c r="C259" i="1"/>
  <c r="C257" i="1"/>
  <c r="C255" i="1"/>
  <c r="C253" i="1"/>
  <c r="C251" i="1"/>
  <c r="C249" i="1"/>
  <c r="C247" i="1"/>
  <c r="C245" i="1"/>
  <c r="C243" i="1"/>
  <c r="C241" i="1"/>
  <c r="C239" i="1"/>
  <c r="C237" i="1"/>
  <c r="C235" i="1"/>
  <c r="C233" i="1"/>
  <c r="C231" i="1"/>
  <c r="C229" i="1"/>
  <c r="C227" i="1"/>
  <c r="C225" i="1"/>
  <c r="C223" i="1"/>
  <c r="C221" i="1"/>
  <c r="C219" i="1"/>
  <c r="B263" i="1"/>
  <c r="B261" i="1"/>
  <c r="B259" i="1"/>
  <c r="B257" i="1"/>
  <c r="B255" i="1"/>
  <c r="B253" i="1"/>
  <c r="B251" i="1"/>
  <c r="B249" i="1"/>
  <c r="B247" i="1"/>
  <c r="B245" i="1"/>
  <c r="B243" i="1"/>
  <c r="B241" i="1"/>
  <c r="B239" i="1"/>
  <c r="B237" i="1"/>
  <c r="B235" i="1"/>
  <c r="B233" i="1"/>
  <c r="B231" i="1"/>
  <c r="B229" i="1"/>
  <c r="B227" i="1"/>
  <c r="B225" i="1"/>
  <c r="B223" i="1"/>
  <c r="B221" i="1"/>
  <c r="B219" i="1"/>
  <c r="C197" i="1"/>
  <c r="D184" i="1"/>
  <c r="D182" i="1"/>
  <c r="D180" i="1"/>
  <c r="D178" i="1"/>
  <c r="D176" i="1"/>
  <c r="D174" i="1"/>
  <c r="D172" i="1"/>
  <c r="D170" i="1"/>
  <c r="D168" i="1"/>
  <c r="D166" i="1"/>
  <c r="D164" i="1"/>
  <c r="C182" i="1"/>
  <c r="C180" i="1"/>
  <c r="C178" i="1"/>
  <c r="C176" i="1"/>
  <c r="C174" i="1"/>
  <c r="C172" i="1"/>
  <c r="C170" i="1"/>
  <c r="C168" i="1"/>
  <c r="C166" i="1"/>
  <c r="C164" i="1"/>
  <c r="B182" i="1"/>
  <c r="B180" i="1"/>
  <c r="B178" i="1"/>
  <c r="B176" i="1"/>
  <c r="B174" i="1"/>
  <c r="B172" i="1"/>
  <c r="B170" i="1"/>
  <c r="B168" i="1"/>
  <c r="B166" i="1"/>
  <c r="B164" i="1"/>
  <c r="D137" i="1"/>
  <c r="D135" i="1"/>
  <c r="D132" i="1"/>
  <c r="D130" i="1"/>
  <c r="D128" i="1"/>
  <c r="B137" i="1"/>
  <c r="B135" i="1"/>
  <c r="B132" i="1"/>
  <c r="B130" i="1"/>
  <c r="B128" i="1"/>
  <c r="B126" i="1"/>
  <c r="D102" i="1"/>
  <c r="D98" i="1"/>
  <c r="D96" i="1"/>
  <c r="D83" i="1"/>
  <c r="C102" i="1"/>
  <c r="C100" i="1"/>
  <c r="C98" i="1"/>
  <c r="C96" i="1"/>
  <c r="C94" i="1"/>
  <c r="C90" i="1"/>
  <c r="C83" i="1"/>
  <c r="B102" i="1"/>
  <c r="B100" i="1"/>
  <c r="B98" i="1"/>
  <c r="B96" i="1"/>
  <c r="B94" i="1"/>
  <c r="B90" i="1"/>
  <c r="B83" i="1"/>
  <c r="D492" i="1"/>
  <c r="C492" i="1"/>
  <c r="B492" i="1"/>
  <c r="D416" i="1"/>
  <c r="C416" i="1"/>
  <c r="B416" i="1"/>
  <c r="D351" i="1"/>
  <c r="C351" i="1"/>
  <c r="B351" i="1"/>
  <c r="D268" i="1"/>
  <c r="C268" i="1"/>
  <c r="B268" i="1"/>
  <c r="D47" i="1"/>
  <c r="C47" i="1"/>
  <c r="B47" i="1"/>
  <c r="B491" i="1"/>
  <c r="D312" i="1"/>
  <c r="C312" i="1"/>
  <c r="B312" i="1"/>
  <c r="D162" i="1"/>
  <c r="C162" i="1"/>
  <c r="B162" i="1"/>
  <c r="D160" i="1"/>
  <c r="C160" i="1"/>
  <c r="B160" i="1"/>
  <c r="D305" i="1"/>
  <c r="D301" i="1"/>
  <c r="D298" i="1"/>
  <c r="C305" i="1"/>
  <c r="C301" i="1"/>
  <c r="C298" i="1"/>
  <c r="B305" i="1"/>
  <c r="B301" i="1"/>
  <c r="B298" i="1"/>
  <c r="K23" i="3"/>
  <c r="K24" i="3"/>
  <c r="J23" i="3"/>
  <c r="J24" i="3"/>
  <c r="I23" i="3"/>
  <c r="I24" i="3"/>
  <c r="H23" i="3"/>
  <c r="H24" i="3"/>
  <c r="C500" i="1"/>
  <c r="B500" i="1"/>
  <c r="B107" i="1"/>
  <c r="D158" i="1"/>
  <c r="C158" i="1"/>
  <c r="B158" i="1"/>
  <c r="G23" i="3"/>
  <c r="F23" i="3"/>
  <c r="E23" i="3"/>
  <c r="L23" i="3"/>
  <c r="M23" i="3"/>
  <c r="N23" i="3"/>
  <c r="O23" i="3"/>
  <c r="D23" i="3"/>
  <c r="U16" i="3"/>
  <c r="U17" i="3"/>
  <c r="U18" i="3"/>
  <c r="U19" i="3"/>
  <c r="U20" i="3"/>
  <c r="U21" i="3"/>
  <c r="U22" i="3"/>
  <c r="U13" i="3"/>
  <c r="U12" i="3"/>
  <c r="U23" i="3"/>
  <c r="O24" i="3"/>
  <c r="N24" i="3"/>
  <c r="M24" i="3"/>
  <c r="L24" i="3"/>
  <c r="C22" i="3"/>
  <c r="C21" i="3"/>
  <c r="C20" i="3"/>
  <c r="C19" i="3"/>
  <c r="C18" i="3"/>
  <c r="C17" i="3"/>
  <c r="C16" i="3"/>
  <c r="C15" i="3"/>
  <c r="C14" i="3"/>
  <c r="C13" i="3"/>
  <c r="C12" i="3"/>
  <c r="D401" i="1"/>
  <c r="C401" i="1"/>
  <c r="B401" i="1"/>
  <c r="J173" i="2"/>
  <c r="B118" i="1"/>
  <c r="D536" i="1"/>
  <c r="D515" i="1"/>
  <c r="D511" i="1"/>
  <c r="D508" i="1"/>
  <c r="D506" i="1"/>
  <c r="D503" i="1"/>
  <c r="D496" i="1"/>
  <c r="D494" i="1"/>
  <c r="C494" i="1"/>
  <c r="C536" i="1"/>
  <c r="C515" i="1"/>
  <c r="C511" i="1"/>
  <c r="C508" i="1"/>
  <c r="C506" i="1"/>
  <c r="C503" i="1"/>
  <c r="C496" i="1"/>
  <c r="B536" i="1"/>
  <c r="B515" i="1"/>
  <c r="B511" i="1"/>
  <c r="B508" i="1"/>
  <c r="B506" i="1"/>
  <c r="B503" i="1"/>
  <c r="B496" i="1"/>
  <c r="B494" i="1"/>
  <c r="D487" i="1"/>
  <c r="D483" i="1"/>
  <c r="C487" i="1"/>
  <c r="C483" i="1"/>
  <c r="B483" i="1"/>
  <c r="B482" i="1"/>
  <c r="D308" i="1"/>
  <c r="D294" i="1"/>
  <c r="C308" i="1"/>
  <c r="C294" i="1"/>
  <c r="D471" i="1"/>
  <c r="D420" i="1"/>
  <c r="D412" i="1"/>
  <c r="B471" i="1"/>
  <c r="B420" i="1"/>
  <c r="B412" i="1"/>
  <c r="C471" i="1"/>
  <c r="C420" i="1"/>
  <c r="C412" i="1"/>
  <c r="D381" i="1"/>
  <c r="D349" i="1"/>
  <c r="C381" i="1"/>
  <c r="C349" i="1"/>
  <c r="C347" i="1"/>
  <c r="B381" i="1"/>
  <c r="B349" i="1"/>
  <c r="B347" i="1"/>
  <c r="B346" i="1"/>
  <c r="D341" i="1"/>
  <c r="D317" i="1"/>
  <c r="C341" i="1"/>
  <c r="C317" i="1"/>
  <c r="B317" i="1"/>
  <c r="B341" i="1"/>
  <c r="B308" i="1"/>
  <c r="B294" i="1"/>
  <c r="B293" i="1"/>
  <c r="D287" i="1"/>
  <c r="C287" i="1"/>
  <c r="B287" i="1"/>
  <c r="B267" i="1"/>
  <c r="B265" i="1"/>
  <c r="B217" i="1"/>
  <c r="B215" i="1"/>
  <c r="B213" i="1"/>
  <c r="B211" i="1"/>
  <c r="B209" i="1"/>
  <c r="B205" i="1"/>
  <c r="B203" i="1"/>
  <c r="B201" i="1"/>
  <c r="B199" i="1"/>
  <c r="B197" i="1"/>
  <c r="B193" i="1"/>
  <c r="B191" i="1"/>
  <c r="B189" i="1"/>
  <c r="D217" i="1"/>
  <c r="D215" i="1"/>
  <c r="D213" i="1"/>
  <c r="D211" i="1"/>
  <c r="D209" i="1"/>
  <c r="D205" i="1"/>
  <c r="D203" i="1"/>
  <c r="D201" i="1"/>
  <c r="D199" i="1"/>
  <c r="D197" i="1"/>
  <c r="D195" i="1"/>
  <c r="D193" i="1"/>
  <c r="D191" i="1"/>
  <c r="D189" i="1"/>
  <c r="C217" i="1"/>
  <c r="C215" i="1"/>
  <c r="C213" i="1"/>
  <c r="C211" i="1"/>
  <c r="C209" i="1"/>
  <c r="C205" i="1"/>
  <c r="C203" i="1"/>
  <c r="C201" i="1"/>
  <c r="C199" i="1"/>
  <c r="C195" i="1"/>
  <c r="C193" i="1"/>
  <c r="C191" i="1"/>
  <c r="C189" i="1"/>
  <c r="B195" i="1"/>
  <c r="D187" i="1"/>
  <c r="C187" i="1"/>
  <c r="B187" i="1"/>
  <c r="D156" i="1"/>
  <c r="D154" i="1"/>
  <c r="D152" i="1"/>
  <c r="D150" i="1"/>
  <c r="B186" i="1"/>
  <c r="B184" i="1"/>
  <c r="B156" i="1"/>
  <c r="B154" i="1"/>
  <c r="B152" i="1"/>
  <c r="B150" i="1"/>
  <c r="C184" i="1"/>
  <c r="C156" i="1"/>
  <c r="C154" i="1"/>
  <c r="C152" i="1"/>
  <c r="C150" i="1"/>
  <c r="D24" i="3"/>
  <c r="C36" i="1"/>
  <c r="D36" i="1"/>
  <c r="C63" i="1"/>
  <c r="D63" i="1"/>
  <c r="C65" i="1"/>
  <c r="D65" i="1"/>
  <c r="C72" i="1"/>
  <c r="D72" i="1"/>
  <c r="C77" i="1"/>
  <c r="D77" i="1"/>
  <c r="C105" i="1"/>
  <c r="D105" i="1"/>
  <c r="C26" i="1"/>
  <c r="B105" i="1"/>
  <c r="B77" i="1"/>
  <c r="B72" i="1"/>
  <c r="B65" i="1"/>
  <c r="B8" i="3"/>
  <c r="C5" i="1"/>
  <c r="B124" i="1"/>
  <c r="C124" i="1"/>
  <c r="U15" i="3"/>
  <c r="D141" i="1"/>
  <c r="B141" i="1"/>
  <c r="D148" i="1"/>
  <c r="D146" i="1"/>
  <c r="C148" i="1"/>
  <c r="C146" i="1"/>
  <c r="B148" i="1"/>
  <c r="B146" i="1"/>
  <c r="B145" i="1"/>
  <c r="B63" i="1"/>
  <c r="B36" i="1"/>
  <c r="D108" i="1"/>
  <c r="C108" i="1"/>
  <c r="C121" i="1"/>
  <c r="C119" i="1"/>
  <c r="B121" i="1"/>
  <c r="B119" i="1"/>
  <c r="B108" i="1"/>
  <c r="D26" i="1"/>
  <c r="D11" i="1"/>
  <c r="C11" i="1"/>
  <c r="B26" i="1"/>
  <c r="B11" i="1"/>
  <c r="B6" i="1"/>
  <c r="U14" i="3"/>
  <c r="D6" i="3"/>
  <c r="B7" i="1"/>
  <c r="B10" i="1"/>
  <c r="G24" i="3"/>
  <c r="F24" i="3"/>
  <c r="E24" i="3"/>
</calcChain>
</file>

<file path=xl/sharedStrings.xml><?xml version="1.0" encoding="utf-8"?>
<sst xmlns="http://schemas.openxmlformats.org/spreadsheetml/2006/main" count="1400" uniqueCount="570">
  <si>
    <t>PREFEITURA MUNICIPAL DE CATALÃO - GO</t>
  </si>
  <si>
    <t>SECRETARIA DE OBRAS</t>
  </si>
  <si>
    <t>ITEM</t>
  </si>
  <si>
    <t>DESCRIÇÃO</t>
  </si>
  <si>
    <t>UNIDADE</t>
  </si>
  <si>
    <t>MEMÓRIA DE CÁLCULO</t>
  </si>
  <si>
    <t>TOTAL</t>
  </si>
  <si>
    <t>PREFEITURA MUNICIPAL DE CATALÃO</t>
  </si>
  <si>
    <t>ORÇAMENTO BÁSICO ESTIMADO</t>
  </si>
  <si>
    <t>CÓDIGO</t>
  </si>
  <si>
    <t>QUANT.</t>
  </si>
  <si>
    <t>MATERIAL</t>
  </si>
  <si>
    <t>MÃO-DE-OBRA</t>
  </si>
  <si>
    <t>TOTAL C/ BDI</t>
  </si>
  <si>
    <t>SUBTOTAL</t>
  </si>
  <si>
    <t>AGETOP</t>
  </si>
  <si>
    <t>TOTAIS</t>
  </si>
  <si>
    <t>DESCRIÇÃO DOS SERVIÇOS</t>
  </si>
  <si>
    <t>MÊS 1</t>
  </si>
  <si>
    <t>VALOR DOS SERVIÇOS (R$)</t>
  </si>
  <si>
    <t>% DOS SERVIÇOS</t>
  </si>
  <si>
    <t>PERCENTUAL DE EXECUÇÃO</t>
  </si>
  <si>
    <t>COMPOSIÇÃO DO BDI</t>
  </si>
  <si>
    <t>_____________________________________________________</t>
  </si>
  <si>
    <t>Leonardo Martins de Castro Teixeira</t>
  </si>
  <si>
    <t>Secretário Municipal de Obras</t>
  </si>
  <si>
    <t>Rodrigo Kogawa</t>
  </si>
  <si>
    <t>Arquiteto e Urbanista</t>
  </si>
  <si>
    <t>BDI</t>
  </si>
  <si>
    <t>UNID.</t>
  </si>
  <si>
    <t>SERVIÇOS PRELIMINARES</t>
  </si>
  <si>
    <t>CRONOGRAMA FÍSICO-FINANCEIRO</t>
  </si>
  <si>
    <t>SECRETARIA MUNICIPAL DE OBRAS</t>
  </si>
  <si>
    <t>CALCULO DO BDI</t>
  </si>
  <si>
    <t xml:space="preserve">% </t>
  </si>
  <si>
    <t>ADMINISTRAÇÃO CENTRAL</t>
  </si>
  <si>
    <t>AC</t>
  </si>
  <si>
    <t>LUCRO</t>
  </si>
  <si>
    <t>L</t>
  </si>
  <si>
    <t>DESPESAS FINANCEIRAS</t>
  </si>
  <si>
    <t>DF</t>
  </si>
  <si>
    <t>SEGURO GARANTIA</t>
  </si>
  <si>
    <t>S+G</t>
  </si>
  <si>
    <t>RISCOS</t>
  </si>
  <si>
    <t>R</t>
  </si>
  <si>
    <t>TRIBUTOS</t>
  </si>
  <si>
    <t>I</t>
  </si>
  <si>
    <t>PIS</t>
  </si>
  <si>
    <t>COFINS</t>
  </si>
  <si>
    <t>CPRB</t>
  </si>
  <si>
    <t>RESULTADO</t>
  </si>
  <si>
    <t>________________________________</t>
  </si>
  <si>
    <t>_________________________________________________</t>
  </si>
  <si>
    <t>SEM 1</t>
  </si>
  <si>
    <t>SEM 2</t>
  </si>
  <si>
    <t>SEM 3</t>
  </si>
  <si>
    <t>SEM 4</t>
  </si>
  <si>
    <t>TOTAL ACUMULADO</t>
  </si>
  <si>
    <t>1.1</t>
  </si>
  <si>
    <t>1.2</t>
  </si>
  <si>
    <t>1.3</t>
  </si>
  <si>
    <t>1.4</t>
  </si>
  <si>
    <t>2.1</t>
  </si>
  <si>
    <t>3.1</t>
  </si>
  <si>
    <t>3.2</t>
  </si>
  <si>
    <t>3.3</t>
  </si>
  <si>
    <t>3.4</t>
  </si>
  <si>
    <t>1.5</t>
  </si>
  <si>
    <t>1.6</t>
  </si>
  <si>
    <t>TRANSPORTES</t>
  </si>
  <si>
    <t>4.1</t>
  </si>
  <si>
    <t>4.2</t>
  </si>
  <si>
    <t>4.3</t>
  </si>
  <si>
    <t>4.4</t>
  </si>
  <si>
    <t>1.7</t>
  </si>
  <si>
    <t>1.8</t>
  </si>
  <si>
    <t>1.9</t>
  </si>
  <si>
    <t>INSTALAÇÃO ELÉTRICA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</si>
  <si>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</si>
  <si>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</si>
  <si>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</si>
  <si>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</si>
  <si>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</si>
  <si>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</si>
  <si>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</si>
  <si>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</si>
  <si>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</si>
  <si>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</si>
  <si>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</si>
  <si>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</si>
  <si>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</si>
  <si>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</si>
  <si>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</si>
  <si>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</si>
  <si>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</si>
  <si>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</si>
  <si>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</si>
  <si>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</si>
  <si>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</si>
  <si>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</si>
  <si>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</si>
  <si>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</si>
  <si>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</si>
  <si>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INSTALAÇÃO HIDRO-SANITÁRIA / ESGOTO</t>
  </si>
  <si>
    <t>6.1</t>
  </si>
  <si>
    <t>ALVENARIAS / IMPERMEABILIZAÇÃO</t>
  </si>
  <si>
    <t>7.1</t>
  </si>
  <si>
    <t>7.2</t>
  </si>
  <si>
    <t>7.3</t>
  </si>
  <si>
    <t>8.1</t>
  </si>
  <si>
    <t>8.2</t>
  </si>
  <si>
    <t>ESQUADRIAS / VIDROS</t>
  </si>
  <si>
    <t>9.1</t>
  </si>
  <si>
    <t>9.2</t>
  </si>
  <si>
    <t>9.3</t>
  </si>
  <si>
    <t>9.4</t>
  </si>
  <si>
    <t>9.5</t>
  </si>
  <si>
    <t>9.6</t>
  </si>
  <si>
    <t>9.8</t>
  </si>
  <si>
    <t>10.1</t>
  </si>
  <si>
    <t>10.2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</si>
  <si>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</si>
  <si>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</si>
  <si>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</si>
  <si>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</si>
  <si>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</si>
  <si>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</si>
  <si>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</si>
  <si>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</si>
  <si>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</si>
  <si>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PINTURA / DIVERSOS</t>
  </si>
  <si>
    <t xml:space="preserve">MEMÓRIA DE CÁLCULO </t>
  </si>
  <si>
    <t>espessura</t>
  </si>
  <si>
    <t xml:space="preserve"> </t>
  </si>
  <si>
    <t>9.7</t>
  </si>
  <si>
    <t>MÊS 2</t>
  </si>
  <si>
    <t>MÊS 3</t>
  </si>
  <si>
    <t>m2</t>
  </si>
  <si>
    <t>DEMOLIÇÃO DE REVESTIMENTOS COM AZULEJOS C/TRANSP.ATE CB. E CARGA</t>
  </si>
  <si>
    <t>DEMOL.REVEST.C/ARGAMASSA C/TR.ATE CB.E CARGA</t>
  </si>
  <si>
    <t>m3</t>
  </si>
  <si>
    <t>ANDAIME METALICO TORRE (ALUGUEL/MES)</t>
  </si>
  <si>
    <t>m</t>
  </si>
  <si>
    <t>FORMA- CH.COMPENSADA 12 MM UTILIZAÇÃO 3 VEZES - (OBRAS CIVIS)</t>
  </si>
  <si>
    <t>PREPARO COM BETONEIRA E TRANSPORTE MANUAL DE CONCRETO FCK-15 - (O.C.)</t>
  </si>
  <si>
    <t>CABO FLEXIVEL PARALELO 2 X 1,5 MM2</t>
  </si>
  <si>
    <t>CABO ISOLADO PVC 750 V. No. 2,5 MM2</t>
  </si>
  <si>
    <t>unid.</t>
  </si>
  <si>
    <t>FIO ISOLADO PVC 750 V, No. 1,5 MM2</t>
  </si>
  <si>
    <t>FITA ISOLANTE, ROLO DE 20,00 M</t>
  </si>
  <si>
    <t>LUMINÁRIA TIPO PROJETOR RETANGULAR ATÉ 400 W - BASE E-40</t>
  </si>
  <si>
    <t>RELE FOTO ELETRICO COM BASE</t>
  </si>
  <si>
    <t>LIGAÇÃO FLEXÍVEL PVC DIAM.1/2" (ENGATE)</t>
  </si>
  <si>
    <t>SIFAO FLEXIVEL UNIVERSAL ( SANFONADO) EM PVC PARA LAVATORIO</t>
  </si>
  <si>
    <t>TUBO SOLDAVEL PVC MARROM DIAMETRO 25 mm</t>
  </si>
  <si>
    <t>LUVA SOLDAVEL DIAMETRO 25 mm</t>
  </si>
  <si>
    <t>JOELHO 45 GRAUS SOLDAVEL 25 mm</t>
  </si>
  <si>
    <t>TE 90 GRAUS SOLDAVEL DIAMETRO 25 mm</t>
  </si>
  <si>
    <t>ADESIVO PLASTICO - FRASCO 850 G</t>
  </si>
  <si>
    <t>SOLUCAO LIMPADORA 1000 CM3</t>
  </si>
  <si>
    <t>COBERTURA</t>
  </si>
  <si>
    <t>7.4</t>
  </si>
  <si>
    <t>7.5</t>
  </si>
  <si>
    <t>REVESTIMENTO PAREDE / PISO / TETO</t>
  </si>
  <si>
    <t>ADMINISTRAÇÃO - MENSALISTAS</t>
  </si>
  <si>
    <t xml:space="preserve">ENCARREGADO - (OBRAS CIVIS) </t>
  </si>
  <si>
    <t>hora</t>
  </si>
  <si>
    <t xml:space="preserve">MESTRE DE OBRA - (OBRAS CIVIS) </t>
  </si>
  <si>
    <t>comprimento</t>
  </si>
  <si>
    <t>largura</t>
  </si>
  <si>
    <t>empolamento</t>
  </si>
  <si>
    <t>dias</t>
  </si>
  <si>
    <t>LAMPADA COMPACTA ELETRÔNICA COM REATOR INTEGRADO 15 W</t>
  </si>
  <si>
    <t xml:space="preserve">             </t>
  </si>
  <si>
    <t>7.6</t>
  </si>
  <si>
    <t>1.10</t>
  </si>
  <si>
    <t>6.2</t>
  </si>
  <si>
    <t>9.9</t>
  </si>
  <si>
    <t>11.10</t>
  </si>
  <si>
    <t>REFORMA HOSPITAL MATERNO INFANTIL</t>
  </si>
  <si>
    <t>01 de Março de 2019</t>
  </si>
  <si>
    <t>RETIRADA DE JANELAS OU PORTAIS C/ TRANSP. ATÉ CB. E CARGA</t>
  </si>
  <si>
    <t>DEM.ALVEN.TIJOLO S/REAP. C/TR.ATE CB. E CARGA</t>
  </si>
  <si>
    <t>DEM. MANUAL EM CONCR.SIMPLES C/TR.ATE CB.E CARGA (O.C.)</t>
  </si>
  <si>
    <t>DEMOLIÇAO BACIA SANITARIA C/ TRANSP. ATÉ CB. E CARGA</t>
  </si>
  <si>
    <t>DEMOLIÇAO DE LAVATÓRIO C/ TRANSP. ATÉ CB. E CARGA</t>
  </si>
  <si>
    <t>DEMOLIÇAO DE BANCADAS C/ TRANSP. ATÉ CB. E CARGA</t>
  </si>
  <si>
    <t>DEMOLIÇAO DE VÁLVULA DE DESCARGA C/ TRANSP. ATÉ CB. E CARGA</t>
  </si>
  <si>
    <t>DEM. MEIO FIO SEM REAPROV.C/TR.ATE C B E CARGA</t>
  </si>
  <si>
    <t>DEMOLIÇÃO CALHAS/ RUFOS EM CHAPA C/TR.AT.C.B.E CARGA</t>
  </si>
  <si>
    <t>DEMOLIÇÃO DAS INSTALAÇÕES ELÉTRICAS E AFINS C/ TRANSP. ATÉ CB. E CARGA</t>
  </si>
  <si>
    <t>DEMOLIÇÃO DAS INSTALAÇÕES HIDROSANITÁRIAS E AFINS C/ TRANSP. ATÉ CB. E CARGA</t>
  </si>
  <si>
    <t>FERRAMENTAS (MANUAIS/ELÉTRICAS) E MATERIAL DE LIMPEZA PERMANENTE DA OBRA - ÁREAS EDIFICADAS/COBERTAS/FECHADAS</t>
  </si>
  <si>
    <t>LOCAÇÃO DE OBRAS DE PEQUENO PORTE COM CAVALETE, INCLUSO PINTURA ( FACE INTERNA DO SARRAFO 10CM) E PIQUETE COM TESTEMUNHA</t>
  </si>
  <si>
    <t>PLACA DE OBRA PLOTADA EM CHAPA METÁLICA 26 , AFIXADA EM CAVALETES DE MADEIRA DE LEI (VIGOTAS 6X12CM) - PADRÃO AGETOP</t>
  </si>
  <si>
    <t>1.11</t>
  </si>
  <si>
    <t>1.12</t>
  </si>
  <si>
    <t>1.13</t>
  </si>
  <si>
    <t>1.14</t>
  </si>
  <si>
    <t>1.15</t>
  </si>
  <si>
    <t>1.16</t>
  </si>
  <si>
    <t>1.17</t>
  </si>
  <si>
    <t xml:space="preserve">TRANSPORTE DE ENTULHO CAÇAMBA ESTACIONÁRIA SEM CARGA  </t>
  </si>
  <si>
    <t xml:space="preserve">ESCAVACAO MANUAL DE VALAS &lt; 1 MTS. (OBRAS CIVIS)  </t>
  </si>
  <si>
    <t xml:space="preserve">REATERRO COM APILOAMENTO </t>
  </si>
  <si>
    <t>SERVIÇO EM TERRA / FUNDAÇÃO</t>
  </si>
  <si>
    <t>ESTACA A TRADO DIAM.25 CM SEM FERRO</t>
  </si>
  <si>
    <t>ACO CA-50A - 6,3 MM (1/4") - (OBRAS CIVIS)</t>
  </si>
  <si>
    <t>kg</t>
  </si>
  <si>
    <t>ACO CA 50-A - 8,0 MM (5/16") - (OBRAS CIVIS)</t>
  </si>
  <si>
    <t>ESCORAMENTO METALICO - VIGAS/LAJES (ALUGUEL/MES)</t>
  </si>
  <si>
    <t>FORRO EM LAJE PRE-MOLDADA INC.CAPEAMENTO/FERR.DISTRIB./ESCORAMENTO E FORMA/DESFORMA</t>
  </si>
  <si>
    <t>3.5</t>
  </si>
  <si>
    <t>3.6</t>
  </si>
  <si>
    <t>3.7</t>
  </si>
  <si>
    <t>3.8</t>
  </si>
  <si>
    <t>3.9</t>
  </si>
  <si>
    <t>3.10</t>
  </si>
  <si>
    <t>CAIXA METALICA RET. 4" X 2" X 2"</t>
  </si>
  <si>
    <t>CONECTOR TRIPOLAR EM PORCELANA PARA FIOS DE ATÉ 10MM2 (BORNES) 50A-250V (CHUVEIRO)</t>
  </si>
  <si>
    <t>DISJUNTOR MONOPOLAR DE 10 A 32-A</t>
  </si>
  <si>
    <t>ELETRODUTO PVC FLEXÍVEL - MANGUEIRA CORRUGADA LEVE - DIAM. 25MM</t>
  </si>
  <si>
    <t>INTERRUPTOR SIMPLES (1 SECAO)</t>
  </si>
  <si>
    <t>LÂMPADA FLUORESCENTE TUBULAR T5 DE 14 W</t>
  </si>
  <si>
    <t>LUMINÁRIA TIPO ARANDELA DE USO EXTERNO BLINDADA COM GRADE ( MÉDIA ) - BASE E-27</t>
  </si>
  <si>
    <t>LUMINÁRIA DE SOBREPOR COM REFLETOR DE ALUMÍNIO E ALETAS 2X14W</t>
  </si>
  <si>
    <t>LAMPADA VAPOR METALICO OVOIDE 250W</t>
  </si>
  <si>
    <t>QUADRO DE DISTRIBUIÇÃO DE EMBUTIR EM PVC CB 12E - 80A</t>
  </si>
  <si>
    <t>REATOR AFP USO EXTERNO V.METALICO 250 W</t>
  </si>
  <si>
    <t>TOMADA HEXAGONAL 2P + T - 10A - 250V</t>
  </si>
  <si>
    <t>TOMADA HEXAGONAL 2P + T - 20A - 250V</t>
  </si>
  <si>
    <t>4.14</t>
  </si>
  <si>
    <t>4.15</t>
  </si>
  <si>
    <t>4.16</t>
  </si>
  <si>
    <t>4.17</t>
  </si>
  <si>
    <t>4.18</t>
  </si>
  <si>
    <t>4.19</t>
  </si>
  <si>
    <t>4.20</t>
  </si>
  <si>
    <t>VASO SANITARIO</t>
  </si>
  <si>
    <t>ANEL DE VEDAÇÃO PARA VASO SANITÁRIO</t>
  </si>
  <si>
    <t>TUBO PARA VÁLVULA DE DESCARGA ( CURTO 1.1/4" )</t>
  </si>
  <si>
    <t>VÁLVULA DE DESCARGA COM SISTEMA PASSANTE EM POLÍMERO - OPÇÃO ECONÔMICA (ALTA SEGURANÇA)</t>
  </si>
  <si>
    <t>CONJUNTO DE FIXACAO P/VASO SANITARIO (PAR)</t>
  </si>
  <si>
    <t>cj.</t>
  </si>
  <si>
    <t>TORNEIRA DE MESA COM FECHAMENTO AUTOMÁTICO TEMPORIZADO PARA LAVATÓRIO DIÂMETRO DE 1/2"</t>
  </si>
  <si>
    <t>CUBA DE LOUCA DE EMBUTIR OVAL MÉDIA</t>
  </si>
  <si>
    <t>PIA MÁRMORE/GRANITO SINTÉTICO 2,00 X 0,54 M</t>
  </si>
  <si>
    <t>CHUVEIRO ELÉTRICO EM PVC COM BRAÇO METÁLICO</t>
  </si>
  <si>
    <t>PORTA PAPEL HIGIÊNICO EM METAL/ACABAMENTO CROMADO</t>
  </si>
  <si>
    <t>PORTA TOALHA HASTE LONGA EM METAL/ACABAMENTO CROMADO</t>
  </si>
  <si>
    <t>SABONETEIRA EM INOX</t>
  </si>
  <si>
    <t>REGISTRO GAVETA BRUTO DIAMETRO 1/2"</t>
  </si>
  <si>
    <t>ADAPTAD.SOLD. C/FL.LIVRES P/CX.DAGUA 25X3/4"</t>
  </si>
  <si>
    <t>LUVA SOLDAVEL C/ROSCA DIAMETRO 25 X 3/4"</t>
  </si>
  <si>
    <t>CORPO RALO SIFONADO QUADRADO 100 X 53 X 40</t>
  </si>
  <si>
    <t>GRELHA QUADRADA BRANCA DIAM. 100 MM</t>
  </si>
  <si>
    <t>CAIXA DE PASSAGEM 60 X 60 CM SEM TAMPA</t>
  </si>
  <si>
    <t>TAMPA EM CONCRETO ARMADO 25 MPA E=5CM PARA A CAIXA DE PASSAGEM 60X60CM</t>
  </si>
  <si>
    <t>CAIXA DAGUA POLIETILENO 500 LTS.C/TAMPA</t>
  </si>
  <si>
    <t>TERMINAL DE VENTILACAO DIAMETRO 50 MM</t>
  </si>
  <si>
    <t>TORNEIRA BOIA DIAMETRO 1" (25 MM )</t>
  </si>
  <si>
    <t>TUBO SOLD. P/ESGOTO DIAM. 50 MM</t>
  </si>
  <si>
    <t>TE SANITARIO DIAMETRO 50 X 50 MM</t>
  </si>
  <si>
    <t>REGULADOR TIPO FRG 45 C/MANÔMETRO DPV</t>
  </si>
  <si>
    <t>TUBO GALVANIZADO DIN 2440 DE 1/2"</t>
  </si>
  <si>
    <t>COTOVELO 300 PSI 1/2"</t>
  </si>
  <si>
    <t>TE PRETO 90o 3/4" NPT 300 LBS</t>
  </si>
  <si>
    <t>LUVA GALVANIZADO DE REDUÇÃO 3/4" X 1/2" (GÁS)</t>
  </si>
  <si>
    <t>UNIÃO S/BRONZE PRETA 3/4" NPT 300 LBS</t>
  </si>
  <si>
    <t>VALVULA DE RETENÇÃO LATÃO 1/2" X 7/16" NPT</t>
  </si>
  <si>
    <t>5.17</t>
  </si>
  <si>
    <t>5.18</t>
  </si>
  <si>
    <t>5.19</t>
  </si>
  <si>
    <t>5.20</t>
  </si>
  <si>
    <t>5.21</t>
  </si>
  <si>
    <t>5.22</t>
  </si>
  <si>
    <t>5.23</t>
  </si>
  <si>
    <t>5.24</t>
  </si>
  <si>
    <t>5.25</t>
  </si>
  <si>
    <t>5.26</t>
  </si>
  <si>
    <t>5.27</t>
  </si>
  <si>
    <t>5.28</t>
  </si>
  <si>
    <t>5.29</t>
  </si>
  <si>
    <t>5.30</t>
  </si>
  <si>
    <t>5.31</t>
  </si>
  <si>
    <t>5.32</t>
  </si>
  <si>
    <t>5.33</t>
  </si>
  <si>
    <t>5.34</t>
  </si>
  <si>
    <t>5.35</t>
  </si>
  <si>
    <t>5.36</t>
  </si>
  <si>
    <t>5.37</t>
  </si>
  <si>
    <t>5.38</t>
  </si>
  <si>
    <t>5.39</t>
  </si>
  <si>
    <t>ALVENARIA DE TIJOLO FURADO 1/2 VEZ 11,5 X 19 X 19 - ARG. ( 1 CALH:4ARML + 100 KG DE CI/M3)</t>
  </si>
  <si>
    <t>DIVISORIA DE GRANITINA</t>
  </si>
  <si>
    <t>IMPERMEABILIZAÇÃO-REBAIXO BANHEIRO COM 4 DEMÃOS DE EMULSÃO ASFÁLTICA</t>
  </si>
  <si>
    <t>6.3</t>
  </si>
  <si>
    <t>6.4</t>
  </si>
  <si>
    <t>ESTRUT.-TELHA DE FIBROCIMENTO (C/TESOURA) C/FERRAGENS</t>
  </si>
  <si>
    <t>COBERTURA COM TELHA ONDULADA OU EQUIV.</t>
  </si>
  <si>
    <t>CUMEEIRA PARA TELHA ONDULADA OU EQUIV.</t>
  </si>
  <si>
    <t>CALHA DE CHAPA GALVANIZADA</t>
  </si>
  <si>
    <t>RUFO DE CHAPA GALVANIZADA</t>
  </si>
  <si>
    <t>EMBOCAMENTO DE BEIRAL</t>
  </si>
  <si>
    <t xml:space="preserve">ALIZAR </t>
  </si>
  <si>
    <t>FOLHA DE PORTA LISA 100 X 210</t>
  </si>
  <si>
    <t>ESQ. MAXIMO AR CHAPA/VIDRO J3/J5/J6/J8 C/FERRAGENS</t>
  </si>
  <si>
    <t>ESQ.DE CORRER CHAPA/VIDRO J9/J10/J12/J13 C/FERRAGENS</t>
  </si>
  <si>
    <t xml:space="preserve">PORTA DE ABRIR EM CHAPA PF-1B C/FERRAGENS </t>
  </si>
  <si>
    <t>PORTA DE CORRER/VIDRO (4) FOLHAS PF-6 C/ FERRAGENS</t>
  </si>
  <si>
    <t>PORTA ABRIR/VENEZIANA PF-4 C/FERRAGENS</t>
  </si>
  <si>
    <t>PORTA ABRIR CH.P/WC PF-10 C/FERRAGENS</t>
  </si>
  <si>
    <t>PORTA DE ABRIR/FOLHA DE VIDRO PF-2 C/FERRAGENS</t>
  </si>
  <si>
    <t>VIDRO LISO 6 MM - COLOCADO</t>
  </si>
  <si>
    <t>8.3</t>
  </si>
  <si>
    <t>8.4</t>
  </si>
  <si>
    <t>8.5</t>
  </si>
  <si>
    <t>8.6</t>
  </si>
  <si>
    <t>8.7</t>
  </si>
  <si>
    <t>8.8</t>
  </si>
  <si>
    <t>8.9</t>
  </si>
  <si>
    <t>8.10</t>
  </si>
  <si>
    <t>CHAPISCO COMUM</t>
  </si>
  <si>
    <t xml:space="preserve">COSTURA DE TRINCA EM ALVENARIA DE TIJOLO </t>
  </si>
  <si>
    <t>EMBOÇO PARA REBOCO FINO (1CALH:4ARML+100kgCI/M3)</t>
  </si>
  <si>
    <t>REBOCO (1 CALH:4 ARFC+100kgCI/M3)</t>
  </si>
  <si>
    <t>REVESTIMENTO COM CERÂMICA</t>
  </si>
  <si>
    <t>CHAPISCO EM FORRO (1CI: 3 ARG)</t>
  </si>
  <si>
    <t>REBOCO FINO EM FORRO (1 CALH:4 ARFC+100 KG CI/M3)</t>
  </si>
  <si>
    <t>FORRO DE GESSO COMUM</t>
  </si>
  <si>
    <t>PASSEIO PROTECAO EM CONC.DESEMPEN.5 CM 1:2,5:3,5 ( INCLUSO ESPELHO DE 30CM /ESCAVAÇÃO/REATERRO/APILOAMENTO/ATERRO INTERNO)</t>
  </si>
  <si>
    <t xml:space="preserve">RASPAGEM E APLICAÇÃO RESINA ACRÍLICA DUAS DEMÃOS  </t>
  </si>
  <si>
    <t>9.10</t>
  </si>
  <si>
    <t>9.11</t>
  </si>
  <si>
    <t>9.12</t>
  </si>
  <si>
    <t xml:space="preserve">FECH.(ALAV.) LAFONTE 6236 I /8766- I18 IMAB OU EQUIV.  </t>
  </si>
  <si>
    <t xml:space="preserve">DOBRADICA 3" x 3 1/2" FERRO POLIDO </t>
  </si>
  <si>
    <t xml:space="preserve">BATE MACA 2,5 X 12 CM/ENVERNIZ. E ASSENTADO  </t>
  </si>
  <si>
    <t>PINTURA TEXTURIZADA C/SELADOR ACRILICO</t>
  </si>
  <si>
    <t xml:space="preserve">EMASSAMENTO COM MASSA PVA UMA DEMAO </t>
  </si>
  <si>
    <t>PINTURA ESMALTE SINTETICO 2 DEMÃOS EM ESQ. MADEIRA</t>
  </si>
  <si>
    <t>PINT.ESMALTE/ESQUAD.FERRO C/FUNDO ANTICOR.</t>
  </si>
  <si>
    <t>LIMPEZA FINAL DE OBRA - (OBRAS CIVIS)</t>
  </si>
  <si>
    <t>PLACA DE INAUGURACAO ACO ESCOVADO 80 X 60 CM</t>
  </si>
  <si>
    <t>BANCADA DE GRANITO C/ESPELHO</t>
  </si>
  <si>
    <t>MEIO FIO PD. AGETOP EM CONC. PRÉ MOLD. RETO/CURVO (5X25X100CM), FC28=20MPA COM ARGAM.(1CI:3ARMLC) P/ARREMATE DO REJUNT. E PINTURA A CAL 2 DEMÃOS - INCLUSO ESCAV./APILOAM./REATERRO E CONC.FC28= 10MPA P/ ASSENTAM. E CHUMBAMENTO</t>
  </si>
  <si>
    <t>11.11</t>
  </si>
  <si>
    <t>11.12</t>
  </si>
  <si>
    <t>11.13</t>
  </si>
  <si>
    <t>MÊS 4</t>
  </si>
  <si>
    <t>altura</t>
  </si>
  <si>
    <t>(0,60x0,60) + (3,00x1,20) + (0,80x2,10x2unid) + (1,00x2,10) + (1,50x0,60) + (1,00x1,20)</t>
  </si>
  <si>
    <t>(0,90x2,10)</t>
  </si>
  <si>
    <t>(0,90x2,10) + (0,90x1,00)</t>
  </si>
  <si>
    <t>(2,00x2,10) + (1,00x0,60) + (1,50x2,10)</t>
  </si>
  <si>
    <t>(0,70x1,00)</t>
  </si>
  <si>
    <t>(1,00x2,10x2unid)</t>
  </si>
  <si>
    <t>hall cirúrgico</t>
  </si>
  <si>
    <t>(0,90x2,10) + (1,00x0,60)</t>
  </si>
  <si>
    <t>posto de enfermagem</t>
  </si>
  <si>
    <t>(0,80x2,10)</t>
  </si>
  <si>
    <t>repouso médico</t>
  </si>
  <si>
    <t>centro cirúrgico 1</t>
  </si>
  <si>
    <t>despensa</t>
  </si>
  <si>
    <t>material esterilizado</t>
  </si>
  <si>
    <t>esterilização</t>
  </si>
  <si>
    <t>expurgo</t>
  </si>
  <si>
    <t>centro cirúrgico 2</t>
  </si>
  <si>
    <t>(0,80x2,10) + (1,00x0,60)</t>
  </si>
  <si>
    <t>repouso enfermagem</t>
  </si>
  <si>
    <t>circulação interna</t>
  </si>
  <si>
    <t>(2,30x2,10)</t>
  </si>
  <si>
    <t>recepção</t>
  </si>
  <si>
    <t>(0,80x2,10) + (2,50x1,50)</t>
  </si>
  <si>
    <t>(1,00x2,10x2unid) + (1,00x0,60x2unid) + (5,50x2,70)</t>
  </si>
  <si>
    <t>quarto 8</t>
  </si>
  <si>
    <t>quarto 9</t>
  </si>
  <si>
    <t>(0,60x2,00x4unid)</t>
  </si>
  <si>
    <t>DEM.DIVISÓRIAS PAINÉIS PRE-FABRIC.C/REAPROVEITAMENTO</t>
  </si>
  <si>
    <t>(1,60x2,80x2unid) + (1,50x2,80x2unid)</t>
  </si>
  <si>
    <t>(6,00x2,80x2unid) + (5,00x2,80x2unid)</t>
  </si>
  <si>
    <t>(7,70x2,80)</t>
  </si>
  <si>
    <t>(3,40x2,80)</t>
  </si>
  <si>
    <t>sala de parto</t>
  </si>
  <si>
    <t>(5,80x1,50) + (5,00x1,50)</t>
  </si>
  <si>
    <t>área externa</t>
  </si>
  <si>
    <t>(14,40x1,50) + (22,00x1,50)</t>
  </si>
  <si>
    <t>quarto 4</t>
  </si>
  <si>
    <t>(2,50x1,80)</t>
  </si>
  <si>
    <t>(2,50x1,00) + (3,45x1,00) + (5,00x1,00)</t>
  </si>
  <si>
    <t>quarto 5</t>
  </si>
  <si>
    <t xml:space="preserve">(2,50x1,00) </t>
  </si>
  <si>
    <t>quarto 7</t>
  </si>
  <si>
    <t xml:space="preserve">(5,00x1,00) </t>
  </si>
  <si>
    <t>quarto 6</t>
  </si>
  <si>
    <t>(6,00x2,00) + (2,00x2,00x2unid) + (1,50x2,00)</t>
  </si>
  <si>
    <t>pré parto</t>
  </si>
  <si>
    <t>(2,50x1,00) + (1,50x1,00)</t>
  </si>
  <si>
    <t>(2,50x1,80) + (1,50x1,80)</t>
  </si>
  <si>
    <t>hall interno</t>
  </si>
  <si>
    <t>(4,95x1,00)</t>
  </si>
  <si>
    <t>(6,00x2,80)</t>
  </si>
  <si>
    <t>(6,00x2,80) + (3,00x2,80) + (1,15x2,80) + (1,30x2,10)</t>
  </si>
  <si>
    <t xml:space="preserve">(5,00x2,80) </t>
  </si>
  <si>
    <t>(5,75x2,80) + (5,55x2,80)</t>
  </si>
  <si>
    <t>(0,40x2,80) + (1,80x2,80)</t>
  </si>
  <si>
    <t>(1,80x2,80) + (5,15x2,80) + (1,50x2,80)</t>
  </si>
  <si>
    <t>preparo</t>
  </si>
  <si>
    <t>(4,80x1,80) + (1,35x1,80x4unid)</t>
  </si>
  <si>
    <t>repouso anestésico</t>
  </si>
  <si>
    <t>repouso provisório</t>
  </si>
  <si>
    <t>(6,00x2,80) + (2,00x2,80) + (1,00x2,10x2unid)</t>
  </si>
  <si>
    <t>(1,50x2,80) + (1,60x2,80) + (1,00x2,10)</t>
  </si>
  <si>
    <t>(5,15x2,80) + (0,80x2,10)</t>
  </si>
  <si>
    <t>(3,35x2,80) + (0,80x2,10)</t>
  </si>
  <si>
    <t>sala de utilidades</t>
  </si>
  <si>
    <t>2,95x0,60</t>
  </si>
  <si>
    <t>1,70x0,60x2unid</t>
  </si>
  <si>
    <t>3,35x0,60</t>
  </si>
  <si>
    <t>2,35x0,60</t>
  </si>
  <si>
    <t>dia</t>
  </si>
  <si>
    <t xml:space="preserve">(5,90x2,80x2unid) + (2,95x2,80x2unid) </t>
  </si>
  <si>
    <t>vestiário masculino e feminino, expurgo, preparo, centro cirúrgico 1, centro cirúrgico 2, repouso anestésico, repouso médico, repouso enfermagem, repouso provisório e banheiro, consultório 1 e banheiro, consultório 2 e banheiro, sala de espera, banheiro masculino e feminino</t>
  </si>
  <si>
    <t>fachada</t>
  </si>
  <si>
    <t>banheiro masculino e feminino, banheiro do repouso provisório, banheiro do repouso médico, banheiro do repouso de enfermagem</t>
  </si>
  <si>
    <t>repouso provisório, repouso médico, repouso enfermagem, recepção (2), consultório 1, consultório 2, posto de enfermagem, farmácia (2), centro cirúrgico 1 (4), centro cirúrgico 2 (4), expurgo (2), preparo (2), esterilização (4), repouso anestésico, vestiário masculino e feminino.</t>
  </si>
  <si>
    <t>expurgo (2), preparo, esterilização, centro cirúrgico 1 (2), centro cirúrgico 2 (2), repouso anestésico (2), hall cirúrgico (2), quarto 8, quarto 9, recepção (3), consultório 1, consultório 2, repouso provisório.</t>
  </si>
  <si>
    <t>vestiário mesculino (2), vestiário feminino (2), expurgo, repouso médico, repouso enfermagem, repouso provisório, consultório 1, consulório 2, sala de espera (2), quarto 8, quarto 9.</t>
  </si>
  <si>
    <t>vestiário mesculino (2), vestiário feminino (2), expurgo (2), repouso médico, repouso enfermagem, repouso provisório, consultório 1, consulório 2, sala de espera (2), quarto 8, quarto 9, sala de utilidades.</t>
  </si>
  <si>
    <t>vestiário mesculino (2), vestiário feminino (2), expurgo, repouso médico, repouso enfermagem, repouso provisório, consultório 1, consulório 2, sala de espera (2), quarto 8, quarto 9, sala de utilidades</t>
  </si>
  <si>
    <t>vestiário masculino e feminino</t>
  </si>
  <si>
    <t>PIA MÁRMORE/GRANITO SINTÉTICO 1,20X0,54 M</t>
  </si>
  <si>
    <t>5.40</t>
  </si>
  <si>
    <t>expurgo, repouso médico, repouso enfermagem, repouso provisório, consultório 1, consulório 2, sala de espera (2), quarto 8, quarto 9, sala de utilidades</t>
  </si>
  <si>
    <t>vestiário masculino (2), vestiário feminino (2), quarto 8, quarto 9, consultório 1, consultório 2</t>
  </si>
  <si>
    <t>vestiário mesculino (2), vestiário feminino (2), repouso médico, repouso enfermagem, repouso provisório, consultório 1, consulório 2, sala de espera (2), quarto 8, quarto 9, sala de utilidades</t>
  </si>
  <si>
    <t>quarto 8, quarto 9, recepção (2), repouso médico, repouso enfermagem, repouso provisório, vestiário masculino, vestiário feminino, expurgo, consultório 1, consultório 2.</t>
  </si>
  <si>
    <t>Conforme projeto de demolição</t>
  </si>
  <si>
    <t>fachada frontal</t>
  </si>
  <si>
    <t>área</t>
  </si>
  <si>
    <t>total</t>
  </si>
  <si>
    <t>vigas baldrame</t>
  </si>
  <si>
    <t>quantidade</t>
  </si>
  <si>
    <t>sala preparo</t>
  </si>
  <si>
    <t>banheiros funcionários</t>
  </si>
  <si>
    <t>faces</t>
  </si>
  <si>
    <t>área hospital</t>
  </si>
  <si>
    <t>porta da entrada</t>
  </si>
  <si>
    <t>portas divisórias banheiro</t>
  </si>
  <si>
    <t>porta expurgo</t>
  </si>
  <si>
    <t>perímetro</t>
  </si>
  <si>
    <t>banheiros recepção</t>
  </si>
  <si>
    <t>banheiro repouso provisório</t>
  </si>
  <si>
    <t>banheiros repouso enfermagem/médico</t>
  </si>
  <si>
    <t>passeio área externa</t>
  </si>
  <si>
    <t>fachada externa parte existente</t>
  </si>
  <si>
    <t>balcão recepção</t>
  </si>
  <si>
    <t>peso</t>
  </si>
  <si>
    <t>-</t>
  </si>
  <si>
    <t>consultórios ginecológicos</t>
  </si>
  <si>
    <t>1,10 + 2,30</t>
  </si>
  <si>
    <t>repouso enfermagem e médicos</t>
  </si>
  <si>
    <t xml:space="preserve">canteiro de acesso </t>
  </si>
  <si>
    <t>6,05 + 10,60 + 11,70</t>
  </si>
  <si>
    <t>área total da intervenção</t>
  </si>
  <si>
    <t>área dos vestiários de funcionários</t>
  </si>
  <si>
    <t>5,20 + 3,40 + 10,40 + 10,00 + 2,60 + 7,60 + 4,40 + 3,40 + 1,70 + 5,40 + 1,70 + 1,70 + 3,70 + 3,70 + 1,90 + 1,90 + 2,60 + 5,00 + 1,80 + 1,80 + 1,80 + 3,60 + 5,20 + 7,90 + 7,70 + 5,70 + 3,50 + 2,00 + 12,00 + 2,20 + 2,20 + 5,20</t>
  </si>
  <si>
    <t>área da recepção e consultórios ginecológicos</t>
  </si>
  <si>
    <t>diâmetro</t>
  </si>
  <si>
    <t>utilizado nas estacas + 20%</t>
  </si>
  <si>
    <t>1,100kg por estaca</t>
  </si>
  <si>
    <t>3,110kg por estaca</t>
  </si>
  <si>
    <t>mês</t>
  </si>
  <si>
    <t>vezes</t>
  </si>
  <si>
    <t>luminária fachada</t>
  </si>
  <si>
    <t>luminária fachada (4.16)</t>
  </si>
  <si>
    <t>vestiário masculino e feminino, expurgo, preparo, centro cirúrgico 1 (4), centro cirúrgico 2 (4), repouso anestésico, repouso médico, repouso enfermagem, repouso provisório, consultório 1, consultório 2, sala de espera.</t>
  </si>
  <si>
    <t>(2 unidades por luminária) vestiário masculino e feminino, expurgo, preparo, centro cirúrgico 1 (4), centro cirúrgico 2 (4), repouso anestésico, repouso médico, repouso enfermagem, repouso provisório, consultório 1, consultório 2, sala de espera.</t>
  </si>
  <si>
    <t>consultório 1, consultório 2, posto de enfermagem (2), farmácia (2), centro cirúrgico 1 (4), centro cirúrgico 2 (4), expurgo (2), preparo (2), esterilização (2), repouso anestésico (2).</t>
  </si>
  <si>
    <t>vestiário mesculino, vestiário feminino, expurgo, consultório 1, consulório 2, quarto 8, quarto 9, sala de utilidades.</t>
  </si>
  <si>
    <t>5,00 + 1,70 + 3,40 + 3,60 + 1,80 + 1,50 + 1,70 + 3,40 + 1,80 + 1,70 + 3,40 + 1,50 + 10,40 + 10,00 + 2,40 + 10,20 + 4,40 + 2,60 + 2,40 + 5,00</t>
  </si>
  <si>
    <t>repouso médico, repouso enfermagem</t>
  </si>
  <si>
    <t>1,80 + 1,80 + 1,80 + 3,60</t>
  </si>
  <si>
    <t>5,20 + 1,50 + 3,70</t>
  </si>
  <si>
    <t>quarto 8, quarto 9</t>
  </si>
  <si>
    <t>7,70 + 6,90 + 5,70 + 0,90</t>
  </si>
  <si>
    <t>3,00 + 1,50 + 0,80 + 0,60 + 3,00 + 1,30</t>
  </si>
  <si>
    <t>2,90 + 3,40 + 0,90</t>
  </si>
  <si>
    <t>11,60 + 2,20 + 2,20 + 2,20</t>
  </si>
  <si>
    <t>sala de espera</t>
  </si>
  <si>
    <t>consultório 1, consultório 2</t>
  </si>
  <si>
    <t>IMPERMEABILIZAÇÃO DE ALICERCE / "PÉ" DE PAREDE / PEITORIL E ALVENARIA DE UM MODO GERAL COM CIMENTO CRISTALIZANTE SEMI FLEXÍVEL - 2 DEMÃOS ( ESPECÍFICO PARA OBRAS DE REFORMA)</t>
  </si>
  <si>
    <t>área do centro ciúrgico 1, expurgo, preparo esterilização e material esterilizado</t>
  </si>
  <si>
    <t>lados</t>
  </si>
  <si>
    <t>14,40 + 3,40 + 3,40 + 3,40 + 9,60</t>
  </si>
  <si>
    <t>11,70 + 0,50 beiral</t>
  </si>
  <si>
    <t>2,40 + 0,80beiral</t>
  </si>
  <si>
    <t>recepção e repouso provisório</t>
  </si>
  <si>
    <t>16,80 + 14,60 + 6,10</t>
  </si>
  <si>
    <t>cobertura existente</t>
  </si>
  <si>
    <t>44,50 + 38,20 + 4,00 +  2,50 +  2,10 + 2,10 + 2,70</t>
  </si>
  <si>
    <t>8,40 + 3,30 + 5,70 + 5,70 + 14,10 + 14,10</t>
  </si>
  <si>
    <t>9,70 + 5,60 + 6,40</t>
  </si>
  <si>
    <t xml:space="preserve">recepção </t>
  </si>
  <si>
    <t>banheiros de espera</t>
  </si>
  <si>
    <t>banheiro dos consultórios ginecológicos</t>
  </si>
  <si>
    <t>áreas</t>
  </si>
  <si>
    <t>consultório 1</t>
  </si>
  <si>
    <t>consultório 2</t>
  </si>
  <si>
    <t>banheiro do repouso médico</t>
  </si>
  <si>
    <t>banheiro do repouso enfermagem</t>
  </si>
  <si>
    <t>10.3</t>
  </si>
  <si>
    <t>ENCANADOR</t>
  </si>
  <si>
    <t>AGETOP (I)</t>
  </si>
  <si>
    <t>AGETOP - Tabela 133 - Custo Obras Civis - Dezembro/2018 - Desonerada</t>
  </si>
  <si>
    <t>AGETOP (I) - Tabela 133 - Custo Mão de obra - Dezembro/2018 - Desonerada</t>
  </si>
  <si>
    <t>ELETRICISTA</t>
  </si>
  <si>
    <t>10.4</t>
  </si>
  <si>
    <t>dobradiça</t>
  </si>
  <si>
    <t xml:space="preserve">banheiro quarto 8 </t>
  </si>
  <si>
    <t xml:space="preserve">banheiro quarto 9 </t>
  </si>
  <si>
    <t>banheiro consultório 1</t>
  </si>
  <si>
    <t>banheiro consultório 2</t>
  </si>
  <si>
    <t>jardim consultórios</t>
  </si>
  <si>
    <t>depósito recepção</t>
  </si>
  <si>
    <t>banheiro masculino recepção</t>
  </si>
  <si>
    <t>banheiro feminino recepção</t>
  </si>
  <si>
    <t>farmácia</t>
  </si>
  <si>
    <t>repouso médicos</t>
  </si>
  <si>
    <t xml:space="preserve">repouso enfermagem </t>
  </si>
  <si>
    <t>ISS - (60%)</t>
  </si>
  <si>
    <t>recepção e consultórios ginecológicos</t>
  </si>
  <si>
    <t>vestiários de funcionários</t>
  </si>
  <si>
    <t>3,55 + 0,50beiral</t>
  </si>
  <si>
    <t>1,80 + 0,50beiral</t>
  </si>
  <si>
    <t>passeio vestiários</t>
  </si>
  <si>
    <t>12,10 + 3,55</t>
  </si>
  <si>
    <t>35,55 m2 de área</t>
  </si>
  <si>
    <t xml:space="preserve">GRANITINA 8MM FUNDIDA COM CONTRAPISO (1CI:3ARML) E=2CM E JUNTA PLASTICA 27MM  </t>
  </si>
  <si>
    <t xml:space="preserve">RODAPÉ FUNDIDO DE GRANITINA 7CM </t>
  </si>
  <si>
    <t>portas de 100 x 210</t>
  </si>
  <si>
    <t xml:space="preserve">portas de 90 x 210 </t>
  </si>
  <si>
    <t>portas de 80 x 210</t>
  </si>
  <si>
    <t>largura X altura</t>
  </si>
  <si>
    <t>0,80 x 2,10</t>
  </si>
  <si>
    <t>0,90 x 2,10</t>
  </si>
  <si>
    <t>1,00 x 2,10</t>
  </si>
  <si>
    <t>corredor interno</t>
  </si>
  <si>
    <t>6,98 + 1,26 + 4,35 + 6,15 + 18,40 + 28,68</t>
  </si>
  <si>
    <t>4,68 + 3,55 + 1,15 + 0,30 + 3,00 + 1,35 + 0,53</t>
  </si>
  <si>
    <t>5,86 + 2,00 +  3,60</t>
  </si>
  <si>
    <t>6,61 + 0,82 + 6,76 + 3,97</t>
  </si>
  <si>
    <t>fachada externa parte nova</t>
  </si>
  <si>
    <t xml:space="preserve">5,15 + 3,38 + 10,40 + 9,95 + 2,55 + 1,80 + 3,55 + 1,80 +  11,69 + 2,35 </t>
  </si>
  <si>
    <t>1,28 + 15,70 + 21,25 + 3,95 + 42,55 + 19,15 +  2,64 + 7,60 + 2,81 + 3,20 + 1,35 + 20,15 + 6,40 + 6,30 + 6,40 + 6,30 + 6,30 + 24,34 + 0,28 + 1,04 + 1,04 + 0,28 + 11,19 + 0,91 + 1,03 + 1,73 +1,73 + 4,25 + 2,20</t>
  </si>
  <si>
    <t xml:space="preserve">PINTURA LATEX ACRILICA 2 DEMAOS </t>
  </si>
  <si>
    <t>PINTURA ESMALTE 1 DEMÃO EM PAREDE SEM SELADOR</t>
  </si>
  <si>
    <t>acima do barrado inferior - parte existente</t>
  </si>
  <si>
    <t>acima do barrado inferior - parte nova</t>
  </si>
  <si>
    <t>23,00 + 18,90 + 13,90 + 13,90 + 13,90 + 13,90 + 85,02 + 21,60 + 11,90 + 13,30 + 18,00 + 19,30 + 19,30 + 19,30 + 13,20 + 2,50 + 10,40 + 12,80</t>
  </si>
  <si>
    <t>perímetros</t>
  </si>
  <si>
    <t>repouso médico (2), repouso enfermagem (2), repouso provisório (2), consultório 1 (2), consulório 2 (2), quarto 8 (2), quarto 9 (2), posto de enfermagem, centro cirúrgico 1, centro cirúrgico 2, preparo.</t>
  </si>
  <si>
    <t>porta posto enfermagem</t>
  </si>
  <si>
    <t>repouso médico (2), repouso enfermagem (2), repouso provisório (2), consultório 1 (2), consulório 2 (2), quarto 8 (2), quarto 9 (2), centro cirúrgico 1 (2), centro cirúrgico 2 (2), preparo.</t>
  </si>
  <si>
    <t>perímetro ou comprimento</t>
  </si>
  <si>
    <t>6,00 m</t>
  </si>
  <si>
    <t>2,00 m</t>
  </si>
  <si>
    <t>5,15 m</t>
  </si>
  <si>
    <t xml:space="preserve">3,50 m </t>
  </si>
  <si>
    <t>1,65 + 1,60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</si>
</sst>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-[$R$-416]\ * #,##0.00_-;\-[$R$-416]\ * #,##0.00_-;_-[$R$-416]\ * &quot;-&quot;??_-;_-@_-"/>
    <numFmt numFmtId="166" formatCode="&quot;R$&quot;#,##0.00"/>
    <numFmt numFmtId="167" formatCode="#,##0.000"/>
  </numFmts>
  <fonts count="5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2"/>
      <name val="Arial Narrow"/>
      <family val="2"/>
    </font>
    <font>
      <sz val="18"/>
      <color theme="1"/>
      <name val="Calibri"/>
      <family val="2"/>
      <scheme val="minor"/>
    </font>
    <font>
      <sz val="12"/>
      <color theme="1"/>
      <name val="Lucida Sans"/>
      <family val="2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Arial"/>
      <family val="2"/>
    </font>
    <font>
      <b/>
      <sz val="16"/>
      <name val="Calibri"/>
      <family val="2"/>
      <scheme val="minor"/>
    </font>
    <font>
      <b/>
      <sz val="16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theme="1" tint="4.9989318521683403E-2"/>
      <name val="Arial Narrow"/>
      <family val="2"/>
    </font>
    <font>
      <b/>
      <sz val="9"/>
      <name val="Arial Narrow"/>
      <family val="2"/>
    </font>
    <font>
      <b/>
      <sz val="12"/>
      <color theme="1"/>
      <name val="Arial Narrow"/>
    </font>
    <font>
      <sz val="10"/>
      <color theme="1"/>
      <name val="Arial Narrow"/>
      <family val="2"/>
    </font>
    <font>
      <b/>
      <sz val="16"/>
      <color theme="1"/>
      <name val="Arial Narrow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Arial"/>
      <family val="2"/>
    </font>
    <font>
      <b/>
      <sz val="1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70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</cellStyleXfs>
  <cellXfs count="754">
    <xf numFmtId="0" fontId="0" fillId="0" borderId="0" xfId="0"/>
    <xf numFmtId="0" fontId="0" fillId="0" borderId="0" xfId="0" applyBorder="1"/>
    <xf numFmtId="0" fontId="24" fillId="2" borderId="0" xfId="0" applyFont="1" applyFill="1" applyBorder="1" applyAlignment="1">
      <alignment horizontal="left" vertical="center"/>
    </xf>
    <xf numFmtId="0" fontId="21" fillId="0" borderId="5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8" fillId="0" borderId="0" xfId="0" applyFont="1" applyFill="1" applyBorder="1" applyAlignment="1">
      <alignment vertical="center" wrapText="1"/>
    </xf>
    <xf numFmtId="44" fontId="28" fillId="0" borderId="0" xfId="0" applyNumberFormat="1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vertical="center" wrapText="1"/>
    </xf>
    <xf numFmtId="165" fontId="30" fillId="0" borderId="0" xfId="0" applyNumberFormat="1" applyFont="1" applyFill="1" applyBorder="1" applyAlignment="1">
      <alignment vertical="center"/>
    </xf>
    <xf numFmtId="0" fontId="27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6" fontId="27" fillId="0" borderId="0" xfId="0" applyNumberFormat="1" applyFont="1" applyAlignment="1">
      <alignment horizontal="center" vertical="center"/>
    </xf>
    <xf numFmtId="44" fontId="27" fillId="0" borderId="0" xfId="0" applyNumberFormat="1" applyFont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0" fontId="27" fillId="0" borderId="5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165" fontId="30" fillId="0" borderId="0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vertical="center"/>
    </xf>
    <xf numFmtId="2" fontId="27" fillId="0" borderId="10" xfId="0" applyNumberFormat="1" applyFont="1" applyBorder="1" applyAlignment="1">
      <alignment horizontal="center" vertical="center"/>
    </xf>
    <xf numFmtId="166" fontId="27" fillId="0" borderId="1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44" fontId="27" fillId="0" borderId="19" xfId="0" applyNumberFormat="1" applyFont="1" applyBorder="1" applyAlignment="1">
      <alignment horizontal="center" vertical="center"/>
    </xf>
    <xf numFmtId="0" fontId="33" fillId="0" borderId="34" xfId="0" applyNumberFormat="1" applyFont="1" applyFill="1" applyBorder="1" applyAlignment="1">
      <alignment horizontal="center" vertical="center" wrapText="1"/>
    </xf>
    <xf numFmtId="2" fontId="33" fillId="0" borderId="37" xfId="0" applyNumberFormat="1" applyFont="1" applyBorder="1" applyAlignment="1">
      <alignment horizontal="center" vertical="center" wrapText="1"/>
    </xf>
    <xf numFmtId="0" fontId="33" fillId="0" borderId="37" xfId="0" applyNumberFormat="1" applyFont="1" applyBorder="1" applyAlignment="1">
      <alignment horizontal="center" vertical="center" wrapText="1"/>
    </xf>
    <xf numFmtId="166" fontId="33" fillId="0" borderId="37" xfId="0" applyNumberFormat="1" applyFont="1" applyBorder="1" applyAlignment="1">
      <alignment horizontal="center" vertical="center" wrapText="1"/>
    </xf>
    <xf numFmtId="166" fontId="33" fillId="0" borderId="38" xfId="2" applyNumberFormat="1" applyFont="1" applyBorder="1" applyAlignment="1">
      <alignment horizontal="center" vertical="center" wrapText="1"/>
    </xf>
    <xf numFmtId="166" fontId="29" fillId="0" borderId="18" xfId="2" applyNumberFormat="1" applyFont="1" applyBorder="1" applyAlignment="1">
      <alignment horizontal="right" vertical="center" wrapText="1"/>
    </xf>
    <xf numFmtId="166" fontId="32" fillId="0" borderId="41" xfId="2" applyNumberFormat="1" applyFont="1" applyBorder="1" applyAlignment="1">
      <alignment horizontal="right" vertical="center" wrapText="1"/>
    </xf>
    <xf numFmtId="4" fontId="27" fillId="0" borderId="0" xfId="0" applyNumberFormat="1" applyFont="1" applyAlignment="1">
      <alignment vertical="center"/>
    </xf>
    <xf numFmtId="0" fontId="0" fillId="2" borderId="12" xfId="0" applyFill="1" applyBorder="1"/>
    <xf numFmtId="0" fontId="20" fillId="2" borderId="13" xfId="0" applyFont="1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" xfId="0" applyFill="1" applyBorder="1"/>
    <xf numFmtId="0" fontId="0" fillId="2" borderId="0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21" fillId="0" borderId="15" xfId="0" applyNumberFormat="1" applyFont="1" applyFill="1" applyBorder="1" applyAlignment="1">
      <alignment horizontal="center" vertical="center"/>
    </xf>
    <xf numFmtId="0" fontId="27" fillId="0" borderId="2" xfId="0" applyFont="1" applyBorder="1" applyAlignment="1">
      <alignment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left" vertical="center" wrapText="1"/>
    </xf>
    <xf numFmtId="0" fontId="19" fillId="0" borderId="46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23" fillId="0" borderId="0" xfId="0" applyFont="1"/>
    <xf numFmtId="0" fontId="38" fillId="6" borderId="23" xfId="0" applyFont="1" applyFill="1" applyBorder="1" applyAlignment="1">
      <alignment horizontal="center"/>
    </xf>
    <xf numFmtId="0" fontId="38" fillId="6" borderId="24" xfId="0" applyFont="1" applyFill="1" applyBorder="1" applyAlignment="1">
      <alignment horizontal="center"/>
    </xf>
    <xf numFmtId="0" fontId="38" fillId="6" borderId="25" xfId="0" applyFont="1" applyFill="1" applyBorder="1" applyAlignment="1">
      <alignment horizontal="center"/>
    </xf>
    <xf numFmtId="0" fontId="37" fillId="2" borderId="5" xfId="0" applyFont="1" applyFill="1" applyBorder="1"/>
    <xf numFmtId="0" fontId="37" fillId="2" borderId="2" xfId="0" applyFont="1" applyFill="1" applyBorder="1" applyAlignment="1">
      <alignment horizontal="center"/>
    </xf>
    <xf numFmtId="10" fontId="37" fillId="2" borderId="18" xfId="3" applyNumberFormat="1" applyFont="1" applyFill="1" applyBorder="1"/>
    <xf numFmtId="0" fontId="23" fillId="0" borderId="0" xfId="0" applyFont="1" applyAlignment="1">
      <alignment horizontal="center" vertical="center"/>
    </xf>
    <xf numFmtId="0" fontId="38" fillId="2" borderId="2" xfId="0" applyFont="1" applyFill="1" applyBorder="1" applyAlignment="1">
      <alignment horizontal="center"/>
    </xf>
    <xf numFmtId="10" fontId="38" fillId="2" borderId="18" xfId="3" applyNumberFormat="1" applyFont="1" applyFill="1" applyBorder="1"/>
    <xf numFmtId="0" fontId="37" fillId="2" borderId="5" xfId="0" applyFont="1" applyFill="1" applyBorder="1" applyAlignment="1">
      <alignment horizontal="left" indent="2"/>
    </xf>
    <xf numFmtId="0" fontId="37" fillId="2" borderId="44" xfId="0" applyFont="1" applyFill="1" applyBorder="1" applyAlignment="1">
      <alignment horizontal="left" indent="2"/>
    </xf>
    <xf numFmtId="0" fontId="37" fillId="2" borderId="43" xfId="0" applyFont="1" applyFill="1" applyBorder="1" applyAlignment="1">
      <alignment horizontal="center"/>
    </xf>
    <xf numFmtId="10" fontId="37" fillId="2" borderId="42" xfId="3" applyNumberFormat="1" applyFont="1" applyFill="1" applyBorder="1"/>
    <xf numFmtId="0" fontId="39" fillId="6" borderId="23" xfId="0" applyFont="1" applyFill="1" applyBorder="1" applyAlignment="1">
      <alignment horizontal="left" indent="2"/>
    </xf>
    <xf numFmtId="0" fontId="37" fillId="2" borderId="1" xfId="0" applyFont="1" applyFill="1" applyBorder="1"/>
    <xf numFmtId="0" fontId="37" fillId="2" borderId="0" xfId="0" applyFont="1" applyFill="1" applyBorder="1"/>
    <xf numFmtId="0" fontId="37" fillId="2" borderId="8" xfId="0" applyFont="1" applyFill="1" applyBorder="1"/>
    <xf numFmtId="0" fontId="41" fillId="2" borderId="1" xfId="0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horizontal="center" vertical="center"/>
    </xf>
    <xf numFmtId="0" fontId="37" fillId="2" borderId="9" xfId="0" applyFont="1" applyFill="1" applyBorder="1"/>
    <xf numFmtId="0" fontId="37" fillId="2" borderId="10" xfId="0" applyFont="1" applyFill="1" applyBorder="1"/>
    <xf numFmtId="0" fontId="37" fillId="2" borderId="11" xfId="0" applyFont="1" applyFill="1" applyBorder="1"/>
    <xf numFmtId="0" fontId="37" fillId="2" borderId="12" xfId="0" applyFont="1" applyFill="1" applyBorder="1"/>
    <xf numFmtId="0" fontId="18" fillId="0" borderId="33" xfId="0" applyNumberFormat="1" applyFont="1" applyBorder="1" applyAlignment="1">
      <alignment horizontal="center" vertical="center" wrapText="1"/>
    </xf>
    <xf numFmtId="0" fontId="18" fillId="0" borderId="34" xfId="0" applyNumberFormat="1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/>
    </xf>
    <xf numFmtId="2" fontId="27" fillId="2" borderId="8" xfId="0" applyNumberFormat="1" applyFont="1" applyFill="1" applyBorder="1" applyAlignment="1">
      <alignment horizontal="center" vertical="center"/>
    </xf>
    <xf numFmtId="2" fontId="25" fillId="2" borderId="8" xfId="0" applyNumberFormat="1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5" fillId="2" borderId="0" xfId="0" applyFont="1" applyFill="1" applyBorder="1" applyAlignment="1">
      <alignment horizontal="center"/>
    </xf>
    <xf numFmtId="0" fontId="25" fillId="2" borderId="10" xfId="0" applyFon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0" fontId="25" fillId="2" borderId="8" xfId="0" applyFon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2" fontId="19" fillId="0" borderId="16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2" fontId="16" fillId="0" borderId="2" xfId="0" applyNumberFormat="1" applyFont="1" applyBorder="1" applyAlignment="1">
      <alignment horizontal="center" vertical="center"/>
    </xf>
    <xf numFmtId="4" fontId="27" fillId="0" borderId="2" xfId="0" applyNumberFormat="1" applyFont="1" applyBorder="1" applyAlignment="1">
      <alignment horizontal="center" vertical="center"/>
    </xf>
    <xf numFmtId="4" fontId="16" fillId="0" borderId="2" xfId="0" applyNumberFormat="1" applyFont="1" applyBorder="1" applyAlignment="1">
      <alignment horizontal="center" vertical="center"/>
    </xf>
    <xf numFmtId="4" fontId="19" fillId="0" borderId="16" xfId="0" applyNumberFormat="1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left" vertical="center" wrapText="1"/>
    </xf>
    <xf numFmtId="4" fontId="27" fillId="0" borderId="7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3" fontId="27" fillId="0" borderId="2" xfId="0" applyNumberFormat="1" applyFont="1" applyBorder="1" applyAlignment="1">
      <alignment horizontal="center" vertical="center"/>
    </xf>
    <xf numFmtId="0" fontId="27" fillId="0" borderId="0" xfId="0" applyFont="1" applyBorder="1" applyAlignment="1">
      <alignment vertical="center"/>
    </xf>
    <xf numFmtId="166" fontId="29" fillId="0" borderId="17" xfId="2" applyNumberFormat="1" applyFont="1" applyBorder="1" applyAlignment="1">
      <alignment horizontal="right" vertical="center" wrapText="1"/>
    </xf>
    <xf numFmtId="0" fontId="22" fillId="0" borderId="6" xfId="0" applyFont="1" applyBorder="1" applyAlignment="1">
      <alignment vertical="center"/>
    </xf>
    <xf numFmtId="10" fontId="26" fillId="5" borderId="5" xfId="3" applyNumberFormat="1" applyFont="1" applyFill="1" applyBorder="1" applyAlignment="1">
      <alignment horizontal="center"/>
    </xf>
    <xf numFmtId="10" fontId="26" fillId="5" borderId="2" xfId="3" applyNumberFormat="1" applyFont="1" applyFill="1" applyBorder="1" applyAlignment="1">
      <alignment horizontal="center"/>
    </xf>
    <xf numFmtId="10" fontId="26" fillId="5" borderId="18" xfId="3" applyNumberFormat="1" applyFont="1" applyFill="1" applyBorder="1" applyAlignment="1">
      <alignment horizontal="center"/>
    </xf>
    <xf numFmtId="164" fontId="22" fillId="0" borderId="4" xfId="0" applyNumberFormat="1" applyFont="1" applyBorder="1" applyAlignment="1">
      <alignment horizontal="right" vertical="center"/>
    </xf>
    <xf numFmtId="164" fontId="47" fillId="0" borderId="0" xfId="0" applyNumberFormat="1" applyFont="1" applyBorder="1" applyAlignment="1">
      <alignment horizontal="right"/>
    </xf>
    <xf numFmtId="10" fontId="21" fillId="0" borderId="8" xfId="1" applyNumberFormat="1" applyFont="1" applyBorder="1" applyAlignment="1">
      <alignment horizontal="center" vertical="center"/>
    </xf>
    <xf numFmtId="0" fontId="22" fillId="0" borderId="53" xfId="0" applyFont="1" applyBorder="1" applyAlignment="1">
      <alignment vertical="center"/>
    </xf>
    <xf numFmtId="0" fontId="15" fillId="0" borderId="0" xfId="0" applyFont="1"/>
    <xf numFmtId="166" fontId="22" fillId="0" borderId="26" xfId="3" applyNumberFormat="1" applyFont="1" applyBorder="1" applyAlignment="1">
      <alignment horizontal="center"/>
    </xf>
    <xf numFmtId="166" fontId="22" fillId="0" borderId="28" xfId="3" applyNumberFormat="1" applyFont="1" applyBorder="1" applyAlignment="1">
      <alignment horizontal="center"/>
    </xf>
    <xf numFmtId="166" fontId="22" fillId="0" borderId="29" xfId="3" applyNumberFormat="1" applyFont="1" applyBorder="1" applyAlignment="1">
      <alignment horizontal="center"/>
    </xf>
    <xf numFmtId="0" fontId="29" fillId="0" borderId="53" xfId="0" applyFont="1" applyFill="1" applyBorder="1" applyAlignment="1">
      <alignment horizontal="left" vertical="center" wrapText="1"/>
    </xf>
    <xf numFmtId="0" fontId="34" fillId="2" borderId="0" xfId="0" applyFont="1" applyFill="1" applyBorder="1" applyAlignment="1"/>
    <xf numFmtId="0" fontId="21" fillId="2" borderId="0" xfId="0" applyFont="1" applyFill="1" applyBorder="1" applyAlignment="1"/>
    <xf numFmtId="0" fontId="36" fillId="2" borderId="0" xfId="0" applyFont="1" applyFill="1" applyBorder="1" applyAlignment="1"/>
    <xf numFmtId="10" fontId="26" fillId="2" borderId="44" xfId="3" applyNumberFormat="1" applyFont="1" applyFill="1" applyBorder="1" applyAlignment="1">
      <alignment horizontal="center"/>
    </xf>
    <xf numFmtId="164" fontId="22" fillId="0" borderId="56" xfId="0" applyNumberFormat="1" applyFont="1" applyBorder="1" applyAlignment="1">
      <alignment horizontal="right" vertical="center"/>
    </xf>
    <xf numFmtId="10" fontId="49" fillId="0" borderId="15" xfId="3" applyNumberFormat="1" applyFont="1" applyBorder="1" applyAlignment="1">
      <alignment horizontal="center"/>
    </xf>
    <xf numFmtId="10" fontId="49" fillId="0" borderId="16" xfId="3" applyNumberFormat="1" applyFont="1" applyBorder="1" applyAlignment="1">
      <alignment horizontal="center"/>
    </xf>
    <xf numFmtId="10" fontId="49" fillId="0" borderId="17" xfId="3" applyNumberFormat="1" applyFont="1" applyBorder="1" applyAlignment="1">
      <alignment horizontal="center"/>
    </xf>
    <xf numFmtId="166" fontId="46" fillId="0" borderId="23" xfId="0" applyNumberFormat="1" applyFont="1" applyBorder="1" applyAlignment="1"/>
    <xf numFmtId="166" fontId="27" fillId="0" borderId="0" xfId="0" applyNumberFormat="1" applyFont="1" applyBorder="1" applyAlignment="1">
      <alignment horizontal="center" vertical="center"/>
    </xf>
    <xf numFmtId="4" fontId="20" fillId="0" borderId="2" xfId="0" applyNumberFormat="1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2" fontId="27" fillId="2" borderId="0" xfId="0" applyNumberFormat="1" applyFont="1" applyFill="1" applyBorder="1" applyAlignment="1">
      <alignment horizontal="center" vertical="center"/>
    </xf>
    <xf numFmtId="2" fontId="25" fillId="2" borderId="0" xfId="0" applyNumberFormat="1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/>
    </xf>
    <xf numFmtId="4" fontId="19" fillId="0" borderId="2" xfId="0" applyNumberFormat="1" applyFont="1" applyFill="1" applyBorder="1" applyAlignment="1">
      <alignment horizontal="center" vertical="center" wrapText="1"/>
    </xf>
    <xf numFmtId="4" fontId="20" fillId="0" borderId="16" xfId="0" applyNumberFormat="1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 wrapText="1"/>
    </xf>
    <xf numFmtId="0" fontId="22" fillId="0" borderId="4" xfId="0" applyFont="1" applyBorder="1" applyAlignment="1">
      <alignment vertical="center"/>
    </xf>
    <xf numFmtId="10" fontId="26" fillId="2" borderId="2" xfId="3" applyNumberFormat="1" applyFont="1" applyFill="1" applyBorder="1" applyAlignment="1">
      <alignment horizontal="center"/>
    </xf>
    <xf numFmtId="10" fontId="26" fillId="2" borderId="5" xfId="3" applyNumberFormat="1" applyFont="1" applyFill="1" applyBorder="1" applyAlignment="1">
      <alignment horizontal="center"/>
    </xf>
    <xf numFmtId="0" fontId="21" fillId="0" borderId="44" xfId="0" applyNumberFormat="1" applyFont="1" applyBorder="1" applyAlignment="1">
      <alignment horizontal="center" vertical="center"/>
    </xf>
    <xf numFmtId="0" fontId="22" fillId="0" borderId="56" xfId="0" applyFont="1" applyBorder="1" applyAlignment="1">
      <alignment vertical="center"/>
    </xf>
    <xf numFmtId="10" fontId="26" fillId="5" borderId="6" xfId="3" applyNumberFormat="1" applyFont="1" applyFill="1" applyBorder="1" applyAlignment="1">
      <alignment horizontal="center"/>
    </xf>
    <xf numFmtId="10" fontId="26" fillId="5" borderId="57" xfId="3" applyNumberFormat="1" applyFont="1" applyFill="1" applyBorder="1" applyAlignment="1">
      <alignment horizontal="center"/>
    </xf>
    <xf numFmtId="10" fontId="26" fillId="5" borderId="28" xfId="3" applyNumberFormat="1" applyFont="1" applyFill="1" applyBorder="1" applyAlignment="1">
      <alignment horizontal="center"/>
    </xf>
    <xf numFmtId="10" fontId="26" fillId="2" borderId="6" xfId="3" applyNumberFormat="1" applyFont="1" applyFill="1" applyBorder="1" applyAlignment="1">
      <alignment horizontal="center"/>
    </xf>
    <xf numFmtId="10" fontId="26" fillId="2" borderId="18" xfId="3" applyNumberFormat="1" applyFont="1" applyFill="1" applyBorder="1" applyAlignment="1">
      <alignment horizontal="center"/>
    </xf>
    <xf numFmtId="164" fontId="34" fillId="0" borderId="23" xfId="0" applyNumberFormat="1" applyFont="1" applyBorder="1" applyAlignment="1">
      <alignment horizontal="right"/>
    </xf>
    <xf numFmtId="10" fontId="21" fillId="0" borderId="60" xfId="1" applyNumberFormat="1" applyFont="1" applyBorder="1" applyAlignment="1">
      <alignment horizontal="center" vertical="center"/>
    </xf>
    <xf numFmtId="10" fontId="34" fillId="0" borderId="33" xfId="1" applyNumberFormat="1" applyFont="1" applyBorder="1" applyAlignment="1">
      <alignment horizontal="center" vertical="center"/>
    </xf>
    <xf numFmtId="10" fontId="26" fillId="2" borderId="43" xfId="3" applyNumberFormat="1" applyFont="1" applyFill="1" applyBorder="1" applyAlignment="1">
      <alignment horizontal="center"/>
    </xf>
    <xf numFmtId="10" fontId="26" fillId="2" borderId="61" xfId="3" applyNumberFormat="1" applyFont="1" applyFill="1" applyBorder="1" applyAlignment="1">
      <alignment horizontal="center"/>
    </xf>
    <xf numFmtId="10" fontId="49" fillId="0" borderId="45" xfId="3" applyNumberFormat="1" applyFont="1" applyBorder="1" applyAlignment="1">
      <alignment horizontal="center"/>
    </xf>
    <xf numFmtId="10" fontId="49" fillId="0" borderId="46" xfId="3" applyNumberFormat="1" applyFont="1" applyBorder="1" applyAlignment="1">
      <alignment horizontal="center"/>
    </xf>
    <xf numFmtId="10" fontId="49" fillId="0" borderId="47" xfId="3" applyNumberFormat="1" applyFont="1" applyBorder="1" applyAlignment="1">
      <alignment horizontal="center"/>
    </xf>
    <xf numFmtId="10" fontId="26" fillId="5" borderId="15" xfId="3" applyNumberFormat="1" applyFont="1" applyFill="1" applyBorder="1" applyAlignment="1">
      <alignment horizontal="center"/>
    </xf>
    <xf numFmtId="10" fontId="26" fillId="5" borderId="16" xfId="3" applyNumberFormat="1" applyFont="1" applyFill="1" applyBorder="1" applyAlignment="1">
      <alignment horizontal="center"/>
    </xf>
    <xf numFmtId="10" fontId="26" fillId="2" borderId="53" xfId="3" applyNumberFormat="1" applyFont="1" applyFill="1" applyBorder="1" applyAlignment="1">
      <alignment horizontal="center"/>
    </xf>
    <xf numFmtId="10" fontId="26" fillId="2" borderId="15" xfId="3" applyNumberFormat="1" applyFont="1" applyFill="1" applyBorder="1" applyAlignment="1">
      <alignment horizontal="center"/>
    </xf>
    <xf numFmtId="10" fontId="26" fillId="2" borderId="16" xfId="3" applyNumberFormat="1" applyFont="1" applyFill="1" applyBorder="1" applyAlignment="1">
      <alignment horizontal="center"/>
    </xf>
    <xf numFmtId="10" fontId="26" fillId="2" borderId="17" xfId="3" applyNumberFormat="1" applyFont="1" applyFill="1" applyBorder="1" applyAlignment="1">
      <alignment horizontal="center"/>
    </xf>
    <xf numFmtId="0" fontId="21" fillId="4" borderId="34" xfId="0" applyFont="1" applyFill="1" applyBorder="1" applyAlignment="1">
      <alignment horizontal="center"/>
    </xf>
    <xf numFmtId="0" fontId="21" fillId="4" borderId="37" xfId="0" applyFont="1" applyFill="1" applyBorder="1" applyAlignment="1">
      <alignment horizontal="center"/>
    </xf>
    <xf numFmtId="0" fontId="21" fillId="4" borderId="35" xfId="0" applyFont="1" applyFill="1" applyBorder="1" applyAlignment="1">
      <alignment horizontal="center"/>
    </xf>
    <xf numFmtId="0" fontId="21" fillId="4" borderId="38" xfId="0" applyFont="1" applyFill="1" applyBorder="1" applyAlignment="1">
      <alignment horizontal="center"/>
    </xf>
    <xf numFmtId="0" fontId="27" fillId="2" borderId="12" xfId="0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vertical="center"/>
    </xf>
    <xf numFmtId="166" fontId="27" fillId="2" borderId="13" xfId="0" applyNumberFormat="1" applyFont="1" applyFill="1" applyBorder="1" applyAlignment="1">
      <alignment horizontal="center" vertical="center"/>
    </xf>
    <xf numFmtId="0" fontId="27" fillId="2" borderId="14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/>
    </xf>
    <xf numFmtId="0" fontId="27" fillId="2" borderId="9" xfId="0" applyFont="1" applyFill="1" applyBorder="1" applyAlignment="1">
      <alignment horizontal="center" vertical="center"/>
    </xf>
    <xf numFmtId="0" fontId="27" fillId="2" borderId="10" xfId="0" applyFont="1" applyFill="1" applyBorder="1" applyAlignment="1">
      <alignment horizontal="center" vertical="center"/>
    </xf>
    <xf numFmtId="0" fontId="27" fillId="2" borderId="10" xfId="0" applyFont="1" applyFill="1" applyBorder="1" applyAlignment="1">
      <alignment vertical="center"/>
    </xf>
    <xf numFmtId="2" fontId="27" fillId="2" borderId="10" xfId="0" applyNumberFormat="1" applyFont="1" applyFill="1" applyBorder="1" applyAlignment="1">
      <alignment horizontal="center" vertical="center"/>
    </xf>
    <xf numFmtId="166" fontId="27" fillId="2" borderId="10" xfId="0" applyNumberFormat="1" applyFont="1" applyFill="1" applyBorder="1" applyAlignment="1">
      <alignment horizontal="center" vertical="center"/>
    </xf>
    <xf numFmtId="166" fontId="27" fillId="2" borderId="11" xfId="0" applyNumberFormat="1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2" fontId="25" fillId="2" borderId="0" xfId="0" applyNumberFormat="1" applyFont="1" applyFill="1" applyBorder="1" applyAlignment="1">
      <alignment horizontal="center" vertical="center"/>
    </xf>
    <xf numFmtId="2" fontId="27" fillId="2" borderId="0" xfId="0" applyNumberFormat="1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/>
    </xf>
    <xf numFmtId="0" fontId="20" fillId="2" borderId="13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/>
    </xf>
    <xf numFmtId="10" fontId="26" fillId="5" borderId="53" xfId="3" applyNumberFormat="1" applyFont="1" applyFill="1" applyBorder="1" applyAlignment="1">
      <alignment horizontal="center"/>
    </xf>
    <xf numFmtId="10" fontId="26" fillId="0" borderId="16" xfId="3" applyNumberFormat="1" applyFont="1" applyFill="1" applyBorder="1" applyAlignment="1">
      <alignment horizontal="center"/>
    </xf>
    <xf numFmtId="10" fontId="26" fillId="0" borderId="6" xfId="3" applyNumberFormat="1" applyFont="1" applyFill="1" applyBorder="1" applyAlignment="1">
      <alignment horizontal="center"/>
    </xf>
    <xf numFmtId="10" fontId="26" fillId="0" borderId="5" xfId="3" applyNumberFormat="1" applyFont="1" applyFill="1" applyBorder="1" applyAlignment="1">
      <alignment horizontal="center"/>
    </xf>
    <xf numFmtId="10" fontId="26" fillId="0" borderId="2" xfId="3" applyNumberFormat="1" applyFont="1" applyFill="1" applyBorder="1" applyAlignment="1">
      <alignment horizontal="center"/>
    </xf>
    <xf numFmtId="0" fontId="20" fillId="0" borderId="21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20" fillId="0" borderId="53" xfId="0" applyFont="1" applyBorder="1" applyAlignment="1">
      <alignment horizontal="left" vertical="center" wrapText="1"/>
    </xf>
    <xf numFmtId="0" fontId="11" fillId="0" borderId="61" xfId="0" applyFont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32" fillId="2" borderId="1" xfId="0" applyFont="1" applyFill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13" xfId="0" applyFont="1" applyBorder="1" applyAlignment="1">
      <alignment horizontal="left" vertical="center"/>
    </xf>
    <xf numFmtId="0" fontId="20" fillId="0" borderId="53" xfId="0" applyFont="1" applyBorder="1" applyAlignment="1">
      <alignment horizontal="left" vertical="center"/>
    </xf>
    <xf numFmtId="0" fontId="19" fillId="0" borderId="21" xfId="0" applyFont="1" applyFill="1" applyBorder="1" applyAlignment="1">
      <alignment horizontal="center" vertical="center" wrapText="1"/>
    </xf>
    <xf numFmtId="0" fontId="19" fillId="0" borderId="51" xfId="0" applyFont="1" applyFill="1" applyBorder="1" applyAlignment="1">
      <alignment horizontal="center" vertical="center" wrapText="1"/>
    </xf>
    <xf numFmtId="4" fontId="19" fillId="0" borderId="27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2" fontId="16" fillId="0" borderId="6" xfId="0" applyNumberFormat="1" applyFont="1" applyBorder="1" applyAlignment="1">
      <alignment horizontal="center" vertical="center"/>
    </xf>
    <xf numFmtId="2" fontId="20" fillId="0" borderId="2" xfId="0" applyNumberFormat="1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4" fontId="16" fillId="0" borderId="43" xfId="0" applyNumberFormat="1" applyFont="1" applyBorder="1" applyAlignment="1">
      <alignment horizontal="center" vertical="center"/>
    </xf>
    <xf numFmtId="1" fontId="16" fillId="0" borderId="43" xfId="0" applyNumberFormat="1" applyFont="1" applyBorder="1" applyAlignment="1">
      <alignment horizontal="center" vertical="center"/>
    </xf>
    <xf numFmtId="0" fontId="16" fillId="0" borderId="46" xfId="0" applyFont="1" applyBorder="1" applyAlignment="1">
      <alignment horizontal="left" vertical="center"/>
    </xf>
    <xf numFmtId="0" fontId="16" fillId="0" borderId="46" xfId="0" applyFont="1" applyBorder="1" applyAlignment="1">
      <alignment horizontal="center" vertical="center"/>
    </xf>
    <xf numFmtId="0" fontId="9" fillId="0" borderId="57" xfId="0" applyFont="1" applyBorder="1" applyAlignment="1">
      <alignment horizontal="left" vertical="center"/>
    </xf>
    <xf numFmtId="2" fontId="16" fillId="0" borderId="57" xfId="0" applyNumberFormat="1" applyFont="1" applyBorder="1" applyAlignment="1">
      <alignment horizontal="center" vertical="center"/>
    </xf>
    <xf numFmtId="4" fontId="16" fillId="0" borderId="57" xfId="0" applyNumberFormat="1" applyFont="1" applyBorder="1" applyAlignment="1">
      <alignment horizontal="center" vertical="center"/>
    </xf>
    <xf numFmtId="0" fontId="16" fillId="0" borderId="16" xfId="0" applyFont="1" applyFill="1" applyBorder="1" applyAlignment="1">
      <alignment horizontal="left" vertical="center" wrapText="1"/>
    </xf>
    <xf numFmtId="0" fontId="16" fillId="0" borderId="46" xfId="0" applyFont="1" applyFill="1" applyBorder="1" applyAlignment="1">
      <alignment horizontal="left" vertical="center" wrapText="1"/>
    </xf>
    <xf numFmtId="0" fontId="9" fillId="0" borderId="43" xfId="0" applyFont="1" applyBorder="1" applyAlignment="1">
      <alignment horizontal="left" vertical="center"/>
    </xf>
    <xf numFmtId="1" fontId="16" fillId="0" borderId="57" xfId="0" applyNumberFormat="1" applyFont="1" applyBorder="1" applyAlignment="1">
      <alignment horizontal="center" vertical="center"/>
    </xf>
    <xf numFmtId="0" fontId="13" fillId="0" borderId="57" xfId="0" applyFont="1" applyBorder="1" applyAlignment="1">
      <alignment horizontal="left" vertical="center"/>
    </xf>
    <xf numFmtId="4" fontId="19" fillId="0" borderId="46" xfId="0" applyNumberFormat="1" applyFont="1" applyFill="1" applyBorder="1" applyAlignment="1">
      <alignment horizontal="center" vertical="center" wrapText="1"/>
    </xf>
    <xf numFmtId="2" fontId="19" fillId="0" borderId="57" xfId="0" applyNumberFormat="1" applyFont="1" applyFill="1" applyBorder="1" applyAlignment="1">
      <alignment horizontal="center" vertical="center" wrapText="1"/>
    </xf>
    <xf numFmtId="9" fontId="19" fillId="0" borderId="16" xfId="0" applyNumberFormat="1" applyFont="1" applyBorder="1" applyAlignment="1">
      <alignment horizontal="center" vertical="center" wrapText="1"/>
    </xf>
    <xf numFmtId="0" fontId="12" fillId="0" borderId="61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0" fontId="20" fillId="0" borderId="57" xfId="0" applyFont="1" applyBorder="1" applyAlignment="1">
      <alignment horizontal="center" vertical="center"/>
    </xf>
    <xf numFmtId="0" fontId="14" fillId="0" borderId="29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20" fillId="0" borderId="21" xfId="0" applyFont="1" applyBorder="1" applyAlignment="1">
      <alignment horizontal="left" vertical="center" wrapText="1"/>
    </xf>
    <xf numFmtId="4" fontId="20" fillId="0" borderId="46" xfId="0" applyNumberFormat="1" applyFont="1" applyBorder="1" applyAlignment="1">
      <alignment horizontal="center" vertical="center"/>
    </xf>
    <xf numFmtId="0" fontId="19" fillId="0" borderId="51" xfId="0" applyFont="1" applyFill="1" applyBorder="1" applyAlignment="1">
      <alignment vertical="center" wrapText="1"/>
    </xf>
    <xf numFmtId="0" fontId="19" fillId="0" borderId="46" xfId="0" applyFont="1" applyFill="1" applyBorder="1" applyAlignment="1">
      <alignment horizontal="center" vertical="center" wrapText="1"/>
    </xf>
    <xf numFmtId="2" fontId="19" fillId="0" borderId="46" xfId="0" applyNumberFormat="1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left" vertical="center"/>
    </xf>
    <xf numFmtId="4" fontId="19" fillId="0" borderId="57" xfId="0" applyNumberFormat="1" applyFont="1" applyFill="1" applyBorder="1" applyAlignment="1">
      <alignment horizontal="center" vertical="center" wrapText="1"/>
    </xf>
    <xf numFmtId="0" fontId="19" fillId="0" borderId="67" xfId="0" applyFont="1" applyFill="1" applyBorder="1" applyAlignment="1">
      <alignment horizontal="left" vertical="center"/>
    </xf>
    <xf numFmtId="4" fontId="19" fillId="0" borderId="19" xfId="0" applyNumberFormat="1" applyFont="1" applyFill="1" applyBorder="1" applyAlignment="1">
      <alignment horizontal="center" vertical="center"/>
    </xf>
    <xf numFmtId="4" fontId="19" fillId="0" borderId="62" xfId="0" applyNumberFormat="1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left" vertical="center"/>
    </xf>
    <xf numFmtId="4" fontId="16" fillId="0" borderId="61" xfId="0" applyNumberFormat="1" applyFont="1" applyBorder="1" applyAlignment="1">
      <alignment horizontal="center" vertical="center"/>
    </xf>
    <xf numFmtId="1" fontId="16" fillId="0" borderId="62" xfId="0" applyNumberFormat="1" applyFont="1" applyBorder="1" applyAlignment="1">
      <alignment horizontal="center" vertical="center"/>
    </xf>
    <xf numFmtId="4" fontId="9" fillId="0" borderId="61" xfId="0" applyNumberFormat="1" applyFont="1" applyBorder="1" applyAlignment="1">
      <alignment horizontal="center" vertical="center"/>
    </xf>
    <xf numFmtId="3" fontId="19" fillId="0" borderId="43" xfId="0" applyNumberFormat="1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left" vertical="center"/>
    </xf>
    <xf numFmtId="0" fontId="19" fillId="0" borderId="21" xfId="0" applyFont="1" applyFill="1" applyBorder="1" applyAlignment="1">
      <alignment horizontal="center" vertical="center" wrapText="1"/>
    </xf>
    <xf numFmtId="4" fontId="19" fillId="0" borderId="51" xfId="0" applyNumberFormat="1" applyFont="1" applyFill="1" applyBorder="1" applyAlignment="1">
      <alignment horizontal="center" vertical="center" wrapText="1"/>
    </xf>
    <xf numFmtId="0" fontId="19" fillId="0" borderId="65" xfId="0" applyFont="1" applyFill="1" applyBorder="1" applyAlignment="1">
      <alignment horizontal="left" vertical="center"/>
    </xf>
    <xf numFmtId="4" fontId="20" fillId="0" borderId="21" xfId="0" applyNumberFormat="1" applyFont="1" applyBorder="1" applyAlignment="1">
      <alignment horizontal="center" vertical="center"/>
    </xf>
    <xf numFmtId="0" fontId="19" fillId="0" borderId="69" xfId="0" applyFont="1" applyBorder="1" applyAlignment="1">
      <alignment horizontal="center" vertical="center" wrapText="1"/>
    </xf>
    <xf numFmtId="3" fontId="19" fillId="0" borderId="61" xfId="0" applyNumberFormat="1" applyFont="1" applyFill="1" applyBorder="1" applyAlignment="1">
      <alignment horizontal="center" vertical="center" wrapText="1"/>
    </xf>
    <xf numFmtId="2" fontId="19" fillId="0" borderId="54" xfId="0" applyNumberFormat="1" applyFont="1" applyFill="1" applyBorder="1" applyAlignment="1">
      <alignment horizontal="center" vertical="center" wrapText="1"/>
    </xf>
    <xf numFmtId="10" fontId="26" fillId="5" borderId="66" xfId="3" applyNumberFormat="1" applyFont="1" applyFill="1" applyBorder="1" applyAlignment="1">
      <alignment horizontal="center"/>
    </xf>
    <xf numFmtId="4" fontId="19" fillId="0" borderId="53" xfId="0" applyNumberFormat="1" applyFont="1" applyFill="1" applyBorder="1" applyAlignment="1">
      <alignment horizontal="center" vertical="center" wrapText="1"/>
    </xf>
    <xf numFmtId="0" fontId="19" fillId="0" borderId="51" xfId="0" applyFont="1" applyFill="1" applyBorder="1" applyAlignment="1">
      <alignment horizontal="center" vertical="center" wrapText="1"/>
    </xf>
    <xf numFmtId="4" fontId="19" fillId="0" borderId="21" xfId="0" applyNumberFormat="1" applyFont="1" applyFill="1" applyBorder="1" applyAlignment="1">
      <alignment horizontal="center" vertical="center" wrapText="1"/>
    </xf>
    <xf numFmtId="4" fontId="19" fillId="0" borderId="51" xfId="0" applyNumberFormat="1" applyFont="1" applyFill="1" applyBorder="1" applyAlignment="1">
      <alignment horizontal="center" vertical="center" wrapText="1"/>
    </xf>
    <xf numFmtId="2" fontId="19" fillId="0" borderId="29" xfId="0" applyNumberFormat="1" applyFont="1" applyFill="1" applyBorder="1" applyAlignment="1">
      <alignment horizontal="center" vertical="center" wrapText="1"/>
    </xf>
    <xf numFmtId="2" fontId="19" fillId="0" borderId="27" xfId="0" applyNumberFormat="1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/>
    </xf>
    <xf numFmtId="0" fontId="19" fillId="0" borderId="46" xfId="0" applyFont="1" applyFill="1" applyBorder="1" applyAlignment="1">
      <alignment horizontal="left" vertical="center" wrapText="1"/>
    </xf>
    <xf numFmtId="0" fontId="19" fillId="0" borderId="29" xfId="0" applyFont="1" applyFill="1" applyBorder="1" applyAlignment="1">
      <alignment horizontal="left" vertical="center"/>
    </xf>
    <xf numFmtId="2" fontId="19" fillId="0" borderId="43" xfId="0" applyNumberFormat="1" applyFont="1" applyFill="1" applyBorder="1" applyAlignment="1">
      <alignment horizontal="center" vertical="center" wrapText="1"/>
    </xf>
    <xf numFmtId="4" fontId="19" fillId="0" borderId="69" xfId="0" applyNumberFormat="1" applyFont="1" applyFill="1" applyBorder="1" applyAlignment="1">
      <alignment horizontal="center" vertical="center" wrapText="1"/>
    </xf>
    <xf numFmtId="0" fontId="19" fillId="0" borderId="67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7" fillId="0" borderId="4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7" fillId="0" borderId="68" xfId="0" applyFont="1" applyBorder="1" applyAlignment="1">
      <alignment horizontal="left" vertical="center"/>
    </xf>
    <xf numFmtId="0" fontId="7" fillId="0" borderId="69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46" xfId="0" applyFont="1" applyBorder="1" applyAlignment="1">
      <alignment vertical="center" wrapText="1"/>
    </xf>
    <xf numFmtId="0" fontId="7" fillId="0" borderId="10" xfId="0" applyFont="1" applyBorder="1" applyAlignment="1">
      <alignment vertical="center"/>
    </xf>
    <xf numFmtId="0" fontId="7" fillId="0" borderId="6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69" xfId="0" applyFont="1" applyFill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/>
    </xf>
    <xf numFmtId="2" fontId="19" fillId="0" borderId="29" xfId="0" applyNumberFormat="1" applyFont="1" applyFill="1" applyBorder="1" applyAlignment="1">
      <alignment horizontal="center" vertical="center" wrapText="1"/>
    </xf>
    <xf numFmtId="4" fontId="19" fillId="0" borderId="21" xfId="0" applyNumberFormat="1" applyFont="1" applyFill="1" applyBorder="1" applyAlignment="1">
      <alignment horizontal="center" vertical="center" wrapText="1"/>
    </xf>
    <xf numFmtId="4" fontId="19" fillId="0" borderId="51" xfId="0" applyNumberFormat="1" applyFont="1" applyFill="1" applyBorder="1" applyAlignment="1">
      <alignment horizontal="center" vertical="center" wrapText="1"/>
    </xf>
    <xf numFmtId="2" fontId="19" fillId="0" borderId="6" xfId="0" applyNumberFormat="1" applyFont="1" applyFill="1" applyBorder="1" applyAlignment="1">
      <alignment horizontal="center" vertical="center" wrapText="1"/>
    </xf>
    <xf numFmtId="4" fontId="20" fillId="0" borderId="6" xfId="0" applyNumberFormat="1" applyFont="1" applyBorder="1" applyAlignment="1">
      <alignment horizontal="center" vertical="center"/>
    </xf>
    <xf numFmtId="2" fontId="19" fillId="0" borderId="2" xfId="0" applyNumberFormat="1" applyFont="1" applyFill="1" applyBorder="1" applyAlignment="1">
      <alignment horizontal="center" vertical="center" wrapText="1"/>
    </xf>
    <xf numFmtId="9" fontId="19" fillId="0" borderId="2" xfId="0" applyNumberFormat="1" applyFont="1" applyBorder="1" applyAlignment="1">
      <alignment horizontal="center" vertical="center" wrapText="1"/>
    </xf>
    <xf numFmtId="0" fontId="6" fillId="0" borderId="61" xfId="0" applyFont="1" applyBorder="1" applyAlignment="1">
      <alignment horizontal="left" vertical="center"/>
    </xf>
    <xf numFmtId="0" fontId="6" fillId="0" borderId="61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/>
    </xf>
    <xf numFmtId="0" fontId="6" fillId="0" borderId="57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43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0" fontId="7" fillId="2" borderId="68" xfId="0" applyFont="1" applyFill="1" applyBorder="1" applyAlignment="1">
      <alignment horizontal="left" vertical="center"/>
    </xf>
    <xf numFmtId="0" fontId="19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1" fontId="13" fillId="0" borderId="43" xfId="0" applyNumberFormat="1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2" fontId="19" fillId="0" borderId="53" xfId="0" applyNumberFormat="1" applyFont="1" applyFill="1" applyBorder="1" applyAlignment="1">
      <alignment horizontal="center" vertical="center" wrapText="1"/>
    </xf>
    <xf numFmtId="4" fontId="20" fillId="0" borderId="69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6" fillId="0" borderId="43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20" fillId="0" borderId="46" xfId="0" applyFont="1" applyBorder="1" applyAlignment="1">
      <alignment vertical="center"/>
    </xf>
    <xf numFmtId="4" fontId="19" fillId="0" borderId="43" xfId="0" applyNumberFormat="1" applyFont="1" applyFill="1" applyBorder="1" applyAlignment="1">
      <alignment horizontal="center" vertical="center" wrapText="1"/>
    </xf>
    <xf numFmtId="2" fontId="19" fillId="0" borderId="43" xfId="0" applyNumberFormat="1" applyFont="1" applyFill="1" applyBorder="1" applyAlignment="1">
      <alignment vertical="center" wrapText="1"/>
    </xf>
    <xf numFmtId="4" fontId="20" fillId="0" borderId="57" xfId="0" applyNumberFormat="1" applyFont="1" applyBorder="1" applyAlignment="1">
      <alignment horizontal="center" vertical="center"/>
    </xf>
    <xf numFmtId="166" fontId="48" fillId="0" borderId="17" xfId="2" applyNumberFormat="1" applyFont="1" applyBorder="1" applyAlignment="1">
      <alignment horizontal="right" vertical="center" wrapText="1"/>
    </xf>
    <xf numFmtId="10" fontId="48" fillId="0" borderId="7" xfId="3" applyNumberFormat="1" applyFont="1" applyBorder="1" applyAlignment="1">
      <alignment vertical="center" wrapText="1"/>
    </xf>
    <xf numFmtId="166" fontId="48" fillId="0" borderId="18" xfId="2" applyNumberFormat="1" applyFont="1" applyBorder="1" applyAlignment="1">
      <alignment horizontal="right" vertical="center" wrapText="1"/>
    </xf>
    <xf numFmtId="166" fontId="48" fillId="0" borderId="28" xfId="2" applyNumberFormat="1" applyFont="1" applyFill="1" applyBorder="1" applyAlignment="1">
      <alignment horizontal="right" vertical="center" wrapText="1"/>
    </xf>
    <xf numFmtId="4" fontId="20" fillId="0" borderId="43" xfId="0" applyNumberFormat="1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2" fontId="20" fillId="0" borderId="43" xfId="0" applyNumberFormat="1" applyFont="1" applyBorder="1" applyAlignment="1">
      <alignment horizontal="center" vertical="center"/>
    </xf>
    <xf numFmtId="0" fontId="6" fillId="0" borderId="53" xfId="0" applyFont="1" applyBorder="1" applyAlignment="1">
      <alignment horizontal="left" vertical="center"/>
    </xf>
    <xf numFmtId="0" fontId="19" fillId="0" borderId="16" xfId="0" applyFont="1" applyFill="1" applyBorder="1" applyAlignment="1">
      <alignment horizontal="center" vertical="center" wrapText="1"/>
    </xf>
    <xf numFmtId="4" fontId="19" fillId="0" borderId="43" xfId="0" applyNumberFormat="1" applyFont="1" applyBorder="1" applyAlignment="1">
      <alignment horizontal="center" vertical="center" wrapText="1"/>
    </xf>
    <xf numFmtId="4" fontId="6" fillId="0" borderId="57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4" fontId="20" fillId="0" borderId="61" xfId="0" applyNumberFormat="1" applyFont="1" applyBorder="1" applyAlignment="1">
      <alignment horizontal="center" vertical="center"/>
    </xf>
    <xf numFmtId="0" fontId="20" fillId="0" borderId="46" xfId="0" applyFont="1" applyBorder="1" applyAlignment="1">
      <alignment horizontal="left" vertical="center"/>
    </xf>
    <xf numFmtId="0" fontId="20" fillId="2" borderId="57" xfId="0" applyFont="1" applyFill="1" applyBorder="1" applyAlignment="1">
      <alignment horizontal="center" vertical="center"/>
    </xf>
    <xf numFmtId="0" fontId="20" fillId="2" borderId="43" xfId="0" applyFont="1" applyFill="1" applyBorder="1" applyAlignment="1">
      <alignment horizontal="center" vertical="center"/>
    </xf>
    <xf numFmtId="4" fontId="19" fillId="0" borderId="21" xfId="0" applyNumberFormat="1" applyFont="1" applyFill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51" xfId="0" applyFont="1" applyFill="1" applyBorder="1" applyAlignment="1">
      <alignment horizontal="center" vertical="center" wrapText="1"/>
    </xf>
    <xf numFmtId="4" fontId="16" fillId="0" borderId="29" xfId="0" applyNumberFormat="1" applyFont="1" applyBorder="1" applyAlignment="1">
      <alignment horizontal="center" vertical="center"/>
    </xf>
    <xf numFmtId="4" fontId="19" fillId="0" borderId="6" xfId="0" applyNumberFormat="1" applyFont="1" applyFill="1" applyBorder="1" applyAlignment="1">
      <alignment horizontal="center" vertical="center" wrapText="1"/>
    </xf>
    <xf numFmtId="4" fontId="19" fillId="0" borderId="7" xfId="0" applyNumberFormat="1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4" fontId="19" fillId="0" borderId="21" xfId="0" applyNumberFormat="1" applyFont="1" applyFill="1" applyBorder="1" applyAlignment="1">
      <alignment horizontal="center" vertical="center" wrapText="1"/>
    </xf>
    <xf numFmtId="2" fontId="19" fillId="0" borderId="29" xfId="0" applyNumberFormat="1" applyFont="1" applyFill="1" applyBorder="1" applyAlignment="1">
      <alignment horizontal="center" vertical="center" wrapText="1"/>
    </xf>
    <xf numFmtId="4" fontId="19" fillId="0" borderId="53" xfId="0" applyNumberFormat="1" applyFont="1" applyFill="1" applyBorder="1" applyAlignment="1">
      <alignment horizontal="center" vertical="center" wrapText="1"/>
    </xf>
    <xf numFmtId="4" fontId="19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1" fontId="5" fillId="0" borderId="57" xfId="0" applyNumberFormat="1" applyFont="1" applyBorder="1" applyAlignment="1">
      <alignment horizontal="center" vertical="center"/>
    </xf>
    <xf numFmtId="4" fontId="45" fillId="0" borderId="18" xfId="0" applyNumberFormat="1" applyFont="1" applyBorder="1" applyAlignment="1">
      <alignment horizontal="right" vertical="center"/>
    </xf>
    <xf numFmtId="4" fontId="45" fillId="0" borderId="28" xfId="0" applyNumberFormat="1" applyFont="1" applyBorder="1" applyAlignment="1">
      <alignment horizontal="right" vertical="center"/>
    </xf>
    <xf numFmtId="4" fontId="19" fillId="0" borderId="16" xfId="0" applyNumberFormat="1" applyFont="1" applyFill="1" applyBorder="1" applyAlignment="1">
      <alignment vertical="center" wrapText="1"/>
    </xf>
    <xf numFmtId="0" fontId="6" fillId="0" borderId="57" xfId="0" applyFont="1" applyBorder="1" applyAlignment="1">
      <alignment horizontal="center" vertical="center"/>
    </xf>
    <xf numFmtId="4" fontId="19" fillId="0" borderId="46" xfId="0" applyNumberFormat="1" applyFont="1" applyFill="1" applyBorder="1" applyAlignment="1">
      <alignment vertical="center" wrapText="1"/>
    </xf>
    <xf numFmtId="0" fontId="20" fillId="0" borderId="31" xfId="0" applyFont="1" applyBorder="1" applyAlignment="1">
      <alignment horizontal="left" vertical="center"/>
    </xf>
    <xf numFmtId="0" fontId="19" fillId="0" borderId="7" xfId="0" applyFont="1" applyFill="1" applyBorder="1" applyAlignment="1">
      <alignment horizontal="left" vertical="center" wrapText="1"/>
    </xf>
    <xf numFmtId="0" fontId="19" fillId="0" borderId="47" xfId="0" applyFont="1" applyFill="1" applyBorder="1" applyAlignment="1">
      <alignment horizontal="center" vertical="center" wrapText="1"/>
    </xf>
    <xf numFmtId="2" fontId="45" fillId="0" borderId="42" xfId="0" applyNumberFormat="1" applyFont="1" applyFill="1" applyBorder="1" applyAlignment="1">
      <alignment horizontal="right" vertical="center"/>
    </xf>
    <xf numFmtId="2" fontId="45" fillId="0" borderId="18" xfId="0" applyNumberFormat="1" applyFont="1" applyFill="1" applyBorder="1" applyAlignment="1">
      <alignment horizontal="right" vertical="center"/>
    </xf>
    <xf numFmtId="4" fontId="45" fillId="0" borderId="18" xfId="0" applyNumberFormat="1" applyFont="1" applyFill="1" applyBorder="1" applyAlignment="1">
      <alignment horizontal="right" vertical="center"/>
    </xf>
    <xf numFmtId="4" fontId="45" fillId="0" borderId="17" xfId="0" applyNumberFormat="1" applyFont="1" applyFill="1" applyBorder="1" applyAlignment="1">
      <alignment horizontal="right" vertical="center"/>
    </xf>
    <xf numFmtId="4" fontId="45" fillId="0" borderId="59" xfId="0" applyNumberFormat="1" applyFont="1" applyFill="1" applyBorder="1" applyAlignment="1">
      <alignment horizontal="right" vertical="center"/>
    </xf>
    <xf numFmtId="4" fontId="45" fillId="0" borderId="42" xfId="0" applyNumberFormat="1" applyFont="1" applyFill="1" applyBorder="1" applyAlignment="1">
      <alignment horizontal="right" vertical="center"/>
    </xf>
    <xf numFmtId="4" fontId="45" fillId="0" borderId="41" xfId="0" applyNumberFormat="1" applyFont="1" applyFill="1" applyBorder="1" applyAlignment="1">
      <alignment horizontal="right" vertical="center"/>
    </xf>
    <xf numFmtId="4" fontId="45" fillId="0" borderId="28" xfId="0" applyNumberFormat="1" applyFont="1" applyFill="1" applyBorder="1" applyAlignment="1">
      <alignment horizontal="right" vertical="center"/>
    </xf>
    <xf numFmtId="0" fontId="19" fillId="0" borderId="17" xfId="0" applyFont="1" applyFill="1" applyBorder="1" applyAlignment="1">
      <alignment horizontal="center" vertical="center" wrapText="1"/>
    </xf>
    <xf numFmtId="3" fontId="45" fillId="0" borderId="18" xfId="0" applyNumberFormat="1" applyFont="1" applyFill="1" applyBorder="1" applyAlignment="1">
      <alignment horizontal="right" vertical="center"/>
    </xf>
    <xf numFmtId="3" fontId="45" fillId="0" borderId="42" xfId="0" applyNumberFormat="1" applyFont="1" applyFill="1" applyBorder="1" applyAlignment="1">
      <alignment horizontal="right" vertical="center"/>
    </xf>
    <xf numFmtId="0" fontId="5" fillId="0" borderId="57" xfId="0" applyFont="1" applyBorder="1" applyAlignment="1">
      <alignment horizontal="left" vertical="center"/>
    </xf>
    <xf numFmtId="0" fontId="6" fillId="0" borderId="29" xfId="0" applyFont="1" applyBorder="1" applyAlignment="1">
      <alignment vertical="center"/>
    </xf>
    <xf numFmtId="0" fontId="16" fillId="0" borderId="57" xfId="0" applyFont="1" applyBorder="1" applyAlignment="1">
      <alignment vertical="center"/>
    </xf>
    <xf numFmtId="1" fontId="45" fillId="0" borderId="42" xfId="0" applyNumberFormat="1" applyFont="1" applyFill="1" applyBorder="1" applyAlignment="1">
      <alignment horizontal="right" vertical="center"/>
    </xf>
    <xf numFmtId="1" fontId="45" fillId="0" borderId="28" xfId="0" applyNumberFormat="1" applyFont="1" applyFill="1" applyBorder="1" applyAlignment="1">
      <alignment horizontal="right" vertical="center"/>
    </xf>
    <xf numFmtId="4" fontId="19" fillId="0" borderId="27" xfId="0" applyNumberFormat="1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19" fillId="0" borderId="51" xfId="0" applyFont="1" applyFill="1" applyBorder="1" applyAlignment="1">
      <alignment horizontal="center" vertical="center" wrapText="1"/>
    </xf>
    <xf numFmtId="2" fontId="19" fillId="0" borderId="29" xfId="0" applyNumberFormat="1" applyFont="1" applyFill="1" applyBorder="1" applyAlignment="1">
      <alignment horizontal="center" vertical="center" wrapText="1"/>
    </xf>
    <xf numFmtId="4" fontId="19" fillId="0" borderId="54" xfId="0" applyNumberFormat="1" applyFont="1" applyFill="1" applyBorder="1" applyAlignment="1">
      <alignment horizontal="center" vertical="center" wrapText="1"/>
    </xf>
    <xf numFmtId="0" fontId="19" fillId="0" borderId="54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4" fontId="18" fillId="0" borderId="18" xfId="0" applyNumberFormat="1" applyFont="1" applyFill="1" applyBorder="1" applyAlignment="1">
      <alignment horizontal="right" vertical="center" wrapText="1"/>
    </xf>
    <xf numFmtId="4" fontId="18" fillId="0" borderId="17" xfId="0" applyNumberFormat="1" applyFont="1" applyFill="1" applyBorder="1" applyAlignment="1">
      <alignment horizontal="right" vertical="center" wrapText="1"/>
    </xf>
    <xf numFmtId="2" fontId="19" fillId="0" borderId="27" xfId="0" applyNumberFormat="1" applyFont="1" applyFill="1" applyBorder="1" applyAlignment="1">
      <alignment vertical="center" wrapText="1"/>
    </xf>
    <xf numFmtId="4" fontId="45" fillId="0" borderId="11" xfId="0" applyNumberFormat="1" applyFont="1" applyFill="1" applyBorder="1" applyAlignment="1">
      <alignment horizontal="right" vertical="center"/>
    </xf>
    <xf numFmtId="0" fontId="5" fillId="0" borderId="68" xfId="0" applyFont="1" applyBorder="1" applyAlignment="1">
      <alignment horizontal="left" vertical="center"/>
    </xf>
    <xf numFmtId="0" fontId="16" fillId="0" borderId="65" xfId="0" applyFont="1" applyBorder="1" applyAlignment="1">
      <alignment vertical="center"/>
    </xf>
    <xf numFmtId="0" fontId="16" fillId="0" borderId="68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4" fontId="16" fillId="0" borderId="6" xfId="0" applyNumberFormat="1" applyFont="1" applyBorder="1" applyAlignment="1">
      <alignment horizontal="center" vertical="center"/>
    </xf>
    <xf numFmtId="4" fontId="16" fillId="0" borderId="65" xfId="0" applyNumberFormat="1" applyFont="1" applyBorder="1" applyAlignment="1">
      <alignment horizontal="center" vertical="center"/>
    </xf>
    <xf numFmtId="2" fontId="19" fillId="0" borderId="69" xfId="0" applyNumberFormat="1" applyFont="1" applyFill="1" applyBorder="1" applyAlignment="1">
      <alignment horizontal="center" vertical="center" wrapText="1"/>
    </xf>
    <xf numFmtId="2" fontId="19" fillId="0" borderId="57" xfId="0" applyNumberFormat="1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2" fontId="20" fillId="0" borderId="57" xfId="0" applyNumberFormat="1" applyFont="1" applyBorder="1" applyAlignment="1">
      <alignment horizontal="center" vertical="center"/>
    </xf>
    <xf numFmtId="4" fontId="45" fillId="0" borderId="8" xfId="0" applyNumberFormat="1" applyFont="1" applyFill="1" applyBorder="1" applyAlignment="1">
      <alignment horizontal="right" vertical="center"/>
    </xf>
    <xf numFmtId="4" fontId="27" fillId="0" borderId="7" xfId="0" applyNumberFormat="1" applyFont="1" applyFill="1" applyBorder="1" applyAlignment="1">
      <alignment horizontal="center" vertical="center"/>
    </xf>
    <xf numFmtId="0" fontId="4" fillId="0" borderId="61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1" fontId="19" fillId="0" borderId="2" xfId="0" applyNumberFormat="1" applyFont="1" applyFill="1" applyBorder="1" applyAlignment="1">
      <alignment horizontal="center" vertical="center" wrapText="1"/>
    </xf>
    <xf numFmtId="1" fontId="19" fillId="0" borderId="57" xfId="0" applyNumberFormat="1" applyFont="1" applyFill="1" applyBorder="1" applyAlignment="1">
      <alignment horizontal="center" vertical="center" wrapText="1"/>
    </xf>
    <xf numFmtId="167" fontId="19" fillId="0" borderId="57" xfId="0" applyNumberFormat="1" applyFont="1" applyFill="1" applyBorder="1" applyAlignment="1">
      <alignment horizontal="center" vertical="center" wrapText="1"/>
    </xf>
    <xf numFmtId="167" fontId="19" fillId="0" borderId="2" xfId="0" applyNumberFormat="1" applyFont="1" applyFill="1" applyBorder="1" applyAlignment="1">
      <alignment horizontal="center" vertical="center" wrapText="1"/>
    </xf>
    <xf numFmtId="0" fontId="19" fillId="0" borderId="69" xfId="0" applyNumberFormat="1" applyFont="1" applyFill="1" applyBorder="1" applyAlignment="1">
      <alignment horizontal="center" vertical="center" wrapText="1"/>
    </xf>
    <xf numFmtId="0" fontId="19" fillId="0" borderId="57" xfId="0" applyNumberFormat="1" applyFont="1" applyFill="1" applyBorder="1" applyAlignment="1">
      <alignment horizontal="center" vertical="center" wrapText="1"/>
    </xf>
    <xf numFmtId="3" fontId="19" fillId="0" borderId="69" xfId="0" applyNumberFormat="1" applyFont="1" applyFill="1" applyBorder="1" applyAlignment="1">
      <alignment horizontal="center" vertical="center" wrapText="1"/>
    </xf>
    <xf numFmtId="3" fontId="19" fillId="0" borderId="57" xfId="0" applyNumberFormat="1" applyFont="1" applyFill="1" applyBorder="1" applyAlignment="1">
      <alignment horizontal="center" vertical="center" wrapText="1"/>
    </xf>
    <xf numFmtId="2" fontId="18" fillId="0" borderId="18" xfId="0" applyNumberFormat="1" applyFont="1" applyFill="1" applyBorder="1" applyAlignment="1">
      <alignment horizontal="right" vertical="center" wrapText="1"/>
    </xf>
    <xf numFmtId="4" fontId="19" fillId="0" borderId="57" xfId="0" applyNumberFormat="1" applyFont="1" applyFill="1" applyBorder="1" applyAlignment="1">
      <alignment vertical="center" wrapText="1"/>
    </xf>
    <xf numFmtId="4" fontId="18" fillId="0" borderId="59" xfId="0" applyNumberFormat="1" applyFont="1" applyFill="1" applyBorder="1" applyAlignment="1">
      <alignment horizontal="right" vertical="center" wrapText="1"/>
    </xf>
    <xf numFmtId="4" fontId="27" fillId="0" borderId="2" xfId="0" applyNumberFormat="1" applyFont="1" applyFill="1" applyBorder="1" applyAlignment="1">
      <alignment horizontal="center" vertical="center"/>
    </xf>
    <xf numFmtId="3" fontId="45" fillId="0" borderId="28" xfId="0" applyNumberFormat="1" applyFont="1" applyFill="1" applyBorder="1" applyAlignment="1">
      <alignment horizontal="right" vertical="center"/>
    </xf>
    <xf numFmtId="0" fontId="4" fillId="0" borderId="29" xfId="0" applyFont="1" applyBorder="1" applyAlignment="1">
      <alignment horizontal="left" vertical="center" wrapText="1"/>
    </xf>
    <xf numFmtId="3" fontId="27" fillId="0" borderId="2" xfId="0" applyNumberFormat="1" applyFont="1" applyFill="1" applyBorder="1" applyAlignment="1">
      <alignment horizontal="center" vertical="center"/>
    </xf>
    <xf numFmtId="0" fontId="4" fillId="0" borderId="29" xfId="0" applyFont="1" applyBorder="1" applyAlignment="1">
      <alignment horizontal="left" vertical="center"/>
    </xf>
    <xf numFmtId="3" fontId="45" fillId="0" borderId="28" xfId="0" applyNumberFormat="1" applyFont="1" applyFill="1" applyBorder="1" applyAlignment="1">
      <alignment vertical="center"/>
    </xf>
    <xf numFmtId="3" fontId="45" fillId="0" borderId="42" xfId="0" applyNumberFormat="1" applyFont="1" applyFill="1" applyBorder="1" applyAlignment="1">
      <alignment vertical="center"/>
    </xf>
    <xf numFmtId="0" fontId="27" fillId="0" borderId="2" xfId="0" applyNumberFormat="1" applyFont="1" applyFill="1" applyBorder="1" applyAlignment="1">
      <alignment horizontal="center" vertical="center"/>
    </xf>
    <xf numFmtId="1" fontId="27" fillId="0" borderId="2" xfId="0" applyNumberFormat="1" applyFont="1" applyFill="1" applyBorder="1" applyAlignment="1">
      <alignment horizontal="center" vertical="center"/>
    </xf>
    <xf numFmtId="4" fontId="45" fillId="0" borderId="28" xfId="0" applyNumberFormat="1" applyFont="1" applyFill="1" applyBorder="1" applyAlignment="1">
      <alignment vertical="center"/>
    </xf>
    <xf numFmtId="4" fontId="45" fillId="0" borderId="18" xfId="0" applyNumberFormat="1" applyFont="1" applyFill="1" applyBorder="1" applyAlignment="1">
      <alignment vertical="center"/>
    </xf>
    <xf numFmtId="0" fontId="4" fillId="0" borderId="67" xfId="0" applyFont="1" applyBorder="1" applyAlignment="1">
      <alignment horizontal="left" vertical="center"/>
    </xf>
    <xf numFmtId="0" fontId="19" fillId="0" borderId="2" xfId="0" applyNumberFormat="1" applyFont="1" applyFill="1" applyBorder="1" applyAlignment="1">
      <alignment horizontal="center" vertical="center" wrapText="1"/>
    </xf>
    <xf numFmtId="0" fontId="20" fillId="0" borderId="43" xfId="0" applyNumberFormat="1" applyFont="1" applyBorder="1" applyAlignment="1">
      <alignment horizontal="center" vertical="center"/>
    </xf>
    <xf numFmtId="2" fontId="6" fillId="0" borderId="43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3" fontId="19" fillId="0" borderId="2" xfId="0" applyNumberFormat="1" applyFont="1" applyFill="1" applyBorder="1" applyAlignment="1">
      <alignment horizontal="center" vertical="center" wrapText="1"/>
    </xf>
    <xf numFmtId="4" fontId="19" fillId="0" borderId="21" xfId="0" applyNumberFormat="1" applyFont="1" applyFill="1" applyBorder="1" applyAlignment="1">
      <alignment horizontal="center" vertical="center" wrapText="1"/>
    </xf>
    <xf numFmtId="4" fontId="19" fillId="0" borderId="51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left" vertical="center"/>
    </xf>
    <xf numFmtId="0" fontId="3" fillId="0" borderId="61" xfId="0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3" fillId="0" borderId="6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" fontId="3" fillId="0" borderId="57" xfId="0" applyNumberFormat="1" applyFont="1" applyBorder="1" applyAlignment="1">
      <alignment horizontal="center" vertical="center"/>
    </xf>
    <xf numFmtId="2" fontId="45" fillId="0" borderId="41" xfId="0" applyNumberFormat="1" applyFont="1" applyFill="1" applyBorder="1" applyAlignment="1">
      <alignment horizontal="right" vertical="center"/>
    </xf>
    <xf numFmtId="0" fontId="19" fillId="0" borderId="6" xfId="0" applyFont="1" applyBorder="1" applyAlignment="1">
      <alignment vertical="center" wrapText="1"/>
    </xf>
    <xf numFmtId="3" fontId="20" fillId="0" borderId="2" xfId="0" applyNumberFormat="1" applyFont="1" applyBorder="1" applyAlignment="1">
      <alignment horizontal="center" vertical="center"/>
    </xf>
    <xf numFmtId="3" fontId="20" fillId="0" borderId="57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 wrapText="1"/>
    </xf>
    <xf numFmtId="0" fontId="3" fillId="0" borderId="53" xfId="0" applyFont="1" applyBorder="1" applyAlignment="1">
      <alignment horizontal="left" vertical="center"/>
    </xf>
    <xf numFmtId="0" fontId="19" fillId="0" borderId="19" xfId="0" applyFont="1" applyFill="1" applyBorder="1" applyAlignment="1">
      <alignment horizontal="center" vertical="center" wrapText="1"/>
    </xf>
    <xf numFmtId="2" fontId="19" fillId="0" borderId="67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19" fillId="0" borderId="27" xfId="0" applyFont="1" applyFill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center" vertical="center"/>
    </xf>
    <xf numFmtId="2" fontId="19" fillId="0" borderId="2" xfId="0" applyNumberFormat="1" applyFont="1" applyBorder="1" applyAlignment="1">
      <alignment horizontal="center" vertical="center" wrapText="1"/>
    </xf>
    <xf numFmtId="2" fontId="20" fillId="0" borderId="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>
      <alignment horizontal="left" vertical="center" wrapText="1"/>
    </xf>
    <xf numFmtId="3" fontId="19" fillId="0" borderId="29" xfId="0" applyNumberFormat="1" applyFont="1" applyFill="1" applyBorder="1" applyAlignment="1">
      <alignment horizontal="center" vertical="center" wrapText="1"/>
    </xf>
    <xf numFmtId="1" fontId="19" fillId="0" borderId="43" xfId="0" applyNumberFormat="1" applyFont="1" applyFill="1" applyBorder="1" applyAlignment="1">
      <alignment horizontal="center" vertical="center" wrapText="1"/>
    </xf>
    <xf numFmtId="3" fontId="45" fillId="0" borderId="11" xfId="0" applyNumberFormat="1" applyFont="1" applyFill="1" applyBorder="1" applyAlignment="1">
      <alignment horizontal="right" vertical="center"/>
    </xf>
    <xf numFmtId="3" fontId="45" fillId="0" borderId="8" xfId="0" applyNumberFormat="1" applyFont="1" applyFill="1" applyBorder="1" applyAlignment="1">
      <alignment horizontal="right" vertical="center"/>
    </xf>
    <xf numFmtId="4" fontId="45" fillId="0" borderId="42" xfId="0" applyNumberFormat="1" applyFont="1" applyFill="1" applyBorder="1" applyAlignment="1">
      <alignment horizontal="right" vertical="center"/>
    </xf>
    <xf numFmtId="4" fontId="45" fillId="0" borderId="41" xfId="0" applyNumberFormat="1" applyFont="1" applyFill="1" applyBorder="1" applyAlignment="1">
      <alignment horizontal="right" vertical="center"/>
    </xf>
    <xf numFmtId="4" fontId="19" fillId="0" borderId="54" xfId="0" applyNumberFormat="1" applyFont="1" applyFill="1" applyBorder="1" applyAlignment="1">
      <alignment horizontal="center" vertical="center" wrapText="1"/>
    </xf>
    <xf numFmtId="0" fontId="3" fillId="0" borderId="43" xfId="0" applyFont="1" applyBorder="1" applyAlignment="1">
      <alignment vertical="center"/>
    </xf>
    <xf numFmtId="2" fontId="20" fillId="0" borderId="62" xfId="0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68" xfId="0" applyFont="1" applyBorder="1" applyAlignment="1">
      <alignment horizontal="left" vertical="center"/>
    </xf>
    <xf numFmtId="1" fontId="16" fillId="0" borderId="2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2" fontId="45" fillId="0" borderId="17" xfId="0" applyNumberFormat="1" applyFont="1" applyFill="1" applyBorder="1" applyAlignment="1">
      <alignment horizontal="right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61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16" fillId="0" borderId="53" xfId="0" applyFont="1" applyBorder="1" applyAlignment="1">
      <alignment vertical="center"/>
    </xf>
    <xf numFmtId="4" fontId="16" fillId="0" borderId="5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4" fontId="45" fillId="0" borderId="42" xfId="0" applyNumberFormat="1" applyFont="1" applyFill="1" applyBorder="1" applyAlignment="1">
      <alignment vertical="center"/>
    </xf>
    <xf numFmtId="0" fontId="19" fillId="0" borderId="2" xfId="0" applyFont="1" applyFill="1" applyBorder="1" applyAlignment="1">
      <alignment vertical="center" wrapText="1"/>
    </xf>
    <xf numFmtId="0" fontId="19" fillId="0" borderId="43" xfId="0" applyFont="1" applyFill="1" applyBorder="1" applyAlignment="1">
      <alignment vertical="center" wrapText="1"/>
    </xf>
    <xf numFmtId="0" fontId="2" fillId="0" borderId="57" xfId="0" applyFont="1" applyBorder="1" applyAlignment="1">
      <alignment horizontal="left" vertical="center"/>
    </xf>
    <xf numFmtId="0" fontId="19" fillId="0" borderId="54" xfId="0" applyFont="1" applyFill="1" applyBorder="1" applyAlignment="1">
      <alignment vertical="center" wrapText="1"/>
    </xf>
    <xf numFmtId="0" fontId="2" fillId="0" borderId="53" xfId="0" applyFont="1" applyBorder="1" applyAlignment="1">
      <alignment horizontal="left" vertical="center"/>
    </xf>
    <xf numFmtId="4" fontId="20" fillId="0" borderId="0" xfId="0" applyNumberFormat="1" applyFont="1" applyAlignment="1">
      <alignment horizontal="center" vertical="center"/>
    </xf>
    <xf numFmtId="3" fontId="16" fillId="0" borderId="57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0" fillId="0" borderId="10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1" fontId="19" fillId="0" borderId="2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67" xfId="0" applyFont="1" applyBorder="1" applyAlignment="1">
      <alignment horizontal="left" vertical="center"/>
    </xf>
    <xf numFmtId="4" fontId="45" fillId="0" borderId="41" xfId="0" applyNumberFormat="1" applyFont="1" applyFill="1" applyBorder="1" applyAlignment="1">
      <alignment vertical="center"/>
    </xf>
    <xf numFmtId="2" fontId="19" fillId="0" borderId="16" xfId="0" applyNumberFormat="1" applyFont="1" applyBorder="1" applyAlignment="1">
      <alignment horizontal="center" vertical="center" wrapText="1"/>
    </xf>
    <xf numFmtId="2" fontId="19" fillId="0" borderId="20" xfId="0" applyNumberFormat="1" applyFont="1" applyBorder="1" applyAlignment="1">
      <alignment horizontal="center" vertical="center" wrapText="1"/>
    </xf>
    <xf numFmtId="2" fontId="19" fillId="0" borderId="0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166" fontId="27" fillId="0" borderId="2" xfId="0" applyNumberFormat="1" applyFont="1" applyBorder="1" applyAlignment="1" applyProtection="1">
      <alignment horizontal="right" vertical="center"/>
      <protection locked="0"/>
    </xf>
    <xf numFmtId="166" fontId="29" fillId="0" borderId="2" xfId="0" applyNumberFormat="1" applyFont="1" applyFill="1" applyBorder="1" applyAlignment="1" applyProtection="1">
      <alignment horizontal="right" vertical="center" wrapText="1"/>
      <protection locked="0"/>
    </xf>
    <xf numFmtId="166" fontId="29" fillId="0" borderId="54" xfId="0" applyNumberFormat="1" applyFont="1" applyFill="1" applyBorder="1" applyAlignment="1" applyProtection="1">
      <alignment horizontal="right" vertical="center" wrapText="1"/>
      <protection locked="0"/>
    </xf>
    <xf numFmtId="166" fontId="29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28" fillId="0" borderId="9" xfId="0" applyFont="1" applyBorder="1" applyAlignment="1">
      <alignment horizontal="right" vertical="center" wrapText="1"/>
    </xf>
    <xf numFmtId="0" fontId="28" fillId="0" borderId="10" xfId="0" applyFont="1" applyBorder="1" applyAlignment="1">
      <alignment horizontal="right" vertical="center" wrapText="1"/>
    </xf>
    <xf numFmtId="0" fontId="28" fillId="0" borderId="40" xfId="0" applyFont="1" applyBorder="1" applyAlignment="1">
      <alignment horizontal="right" vertical="center" wrapText="1"/>
    </xf>
    <xf numFmtId="0" fontId="33" fillId="3" borderId="23" xfId="0" applyFont="1" applyFill="1" applyBorder="1" applyAlignment="1">
      <alignment horizontal="left" vertical="center" wrapText="1"/>
    </xf>
    <xf numFmtId="0" fontId="33" fillId="3" borderId="24" xfId="0" applyFont="1" applyFill="1" applyBorder="1" applyAlignment="1">
      <alignment horizontal="left" vertical="center" wrapText="1"/>
    </xf>
    <xf numFmtId="0" fontId="33" fillId="3" borderId="25" xfId="0" applyFont="1" applyFill="1" applyBorder="1" applyAlignment="1">
      <alignment horizontal="left" vertical="center" wrapText="1"/>
    </xf>
    <xf numFmtId="0" fontId="48" fillId="0" borderId="50" xfId="0" applyFont="1" applyBorder="1" applyAlignment="1">
      <alignment horizontal="right" vertical="center" wrapText="1"/>
    </xf>
    <xf numFmtId="0" fontId="48" fillId="0" borderId="31" xfId="0" applyFont="1" applyBorder="1" applyAlignment="1">
      <alignment horizontal="right" vertical="center" wrapText="1"/>
    </xf>
    <xf numFmtId="0" fontId="48" fillId="0" borderId="51" xfId="0" applyFont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32" fillId="2" borderId="0" xfId="0" applyFont="1" applyFill="1" applyBorder="1" applyAlignment="1">
      <alignment horizontal="center" vertical="center"/>
    </xf>
    <xf numFmtId="0" fontId="32" fillId="2" borderId="8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horizontal="center" vertical="center"/>
    </xf>
    <xf numFmtId="0" fontId="33" fillId="2" borderId="8" xfId="0" applyFont="1" applyFill="1" applyBorder="1" applyAlignment="1">
      <alignment horizontal="center" vertical="center"/>
    </xf>
    <xf numFmtId="0" fontId="31" fillId="2" borderId="12" xfId="0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/>
    </xf>
    <xf numFmtId="0" fontId="31" fillId="2" borderId="14" xfId="0" applyFont="1" applyFill="1" applyBorder="1" applyAlignment="1">
      <alignment horizontal="center" vertical="center"/>
    </xf>
    <xf numFmtId="0" fontId="33" fillId="0" borderId="35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right" vertical="center" wrapText="1"/>
    </xf>
    <xf numFmtId="0" fontId="33" fillId="2" borderId="0" xfId="0" applyFont="1" applyFill="1" applyBorder="1" applyAlignment="1">
      <alignment horizontal="right" vertical="center" wrapText="1"/>
    </xf>
    <xf numFmtId="0" fontId="33" fillId="2" borderId="8" xfId="0" applyFont="1" applyFill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28" fillId="0" borderId="24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2" fontId="25" fillId="2" borderId="0" xfId="0" applyNumberFormat="1" applyFont="1" applyFill="1" applyBorder="1" applyAlignment="1">
      <alignment horizontal="center" vertical="center"/>
    </xf>
    <xf numFmtId="0" fontId="48" fillId="0" borderId="3" xfId="0" applyFont="1" applyBorder="1" applyAlignment="1">
      <alignment horizontal="right" vertical="center" wrapText="1"/>
    </xf>
    <xf numFmtId="0" fontId="48" fillId="0" borderId="4" xfId="0" applyFont="1" applyBorder="1" applyAlignment="1">
      <alignment horizontal="right" vertical="center" wrapText="1"/>
    </xf>
    <xf numFmtId="0" fontId="48" fillId="0" borderId="26" xfId="0" applyFont="1" applyFill="1" applyBorder="1" applyAlignment="1">
      <alignment horizontal="right" vertical="center" wrapText="1"/>
    </xf>
    <xf numFmtId="0" fontId="48" fillId="0" borderId="39" xfId="0" applyFont="1" applyFill="1" applyBorder="1" applyAlignment="1">
      <alignment horizontal="right" vertical="center" wrapText="1"/>
    </xf>
    <xf numFmtId="0" fontId="48" fillId="0" borderId="27" xfId="0" applyFont="1" applyFill="1" applyBorder="1" applyAlignment="1">
      <alignment horizontal="right" vertical="center" wrapText="1"/>
    </xf>
    <xf numFmtId="0" fontId="30" fillId="3" borderId="23" xfId="0" applyFont="1" applyFill="1" applyBorder="1" applyAlignment="1">
      <alignment horizontal="right" vertical="center" wrapText="1"/>
    </xf>
    <xf numFmtId="0" fontId="30" fillId="3" borderId="24" xfId="0" applyFont="1" applyFill="1" applyBorder="1" applyAlignment="1">
      <alignment horizontal="right" vertical="center" wrapText="1"/>
    </xf>
    <xf numFmtId="0" fontId="30" fillId="3" borderId="25" xfId="0" applyFont="1" applyFill="1" applyBorder="1" applyAlignment="1">
      <alignment horizontal="right" vertical="center" wrapText="1"/>
    </xf>
    <xf numFmtId="0" fontId="25" fillId="2" borderId="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 wrapText="1"/>
    </xf>
    <xf numFmtId="0" fontId="19" fillId="0" borderId="51" xfId="0" applyFont="1" applyFill="1" applyBorder="1" applyAlignment="1">
      <alignment horizontal="center" vertical="center" wrapText="1"/>
    </xf>
    <xf numFmtId="2" fontId="19" fillId="0" borderId="29" xfId="0" applyNumberFormat="1" applyFont="1" applyFill="1" applyBorder="1" applyAlignment="1">
      <alignment horizontal="center" vertical="center" wrapText="1"/>
    </xf>
    <xf numFmtId="2" fontId="19" fillId="0" borderId="27" xfId="0" applyNumberFormat="1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29" xfId="0" applyNumberFormat="1" applyFont="1" applyBorder="1" applyAlignment="1">
      <alignment horizontal="center" vertical="center" wrapText="1"/>
    </xf>
    <xf numFmtId="4" fontId="2" fillId="0" borderId="39" xfId="0" applyNumberFormat="1" applyFont="1" applyBorder="1" applyAlignment="1">
      <alignment horizontal="center" vertical="center" wrapText="1"/>
    </xf>
    <xf numFmtId="4" fontId="2" fillId="0" borderId="27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5" fillId="0" borderId="42" xfId="0" applyNumberFormat="1" applyFont="1" applyFill="1" applyBorder="1" applyAlignment="1">
      <alignment horizontal="right" vertical="center"/>
    </xf>
    <xf numFmtId="4" fontId="45" fillId="0" borderId="59" xfId="0" applyNumberFormat="1" applyFont="1" applyFill="1" applyBorder="1" applyAlignment="1">
      <alignment horizontal="right" vertical="center"/>
    </xf>
    <xf numFmtId="4" fontId="2" fillId="0" borderId="6" xfId="0" applyNumberFormat="1" applyFont="1" applyBorder="1" applyAlignment="1">
      <alignment horizontal="center" vertical="center"/>
    </xf>
    <xf numFmtId="4" fontId="20" fillId="0" borderId="7" xfId="0" applyNumberFormat="1" applyFont="1" applyBorder="1" applyAlignment="1">
      <alignment horizontal="center" vertical="center"/>
    </xf>
    <xf numFmtId="4" fontId="45" fillId="0" borderId="41" xfId="0" applyNumberFormat="1" applyFont="1" applyFill="1" applyBorder="1" applyAlignment="1">
      <alignment horizontal="right" vertical="center"/>
    </xf>
    <xf numFmtId="2" fontId="19" fillId="0" borderId="65" xfId="0" applyNumberFormat="1" applyFont="1" applyBorder="1" applyAlignment="1">
      <alignment horizontal="center" vertical="center" wrapText="1"/>
    </xf>
    <xf numFmtId="2" fontId="19" fillId="0" borderId="10" xfId="0" applyNumberFormat="1" applyFont="1" applyBorder="1" applyAlignment="1">
      <alignment horizontal="center" vertical="center" wrapText="1"/>
    </xf>
    <xf numFmtId="2" fontId="19" fillId="0" borderId="40" xfId="0" applyNumberFormat="1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20" fillId="0" borderId="4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4" fontId="19" fillId="0" borderId="6" xfId="0" applyNumberFormat="1" applyFont="1" applyBorder="1" applyAlignment="1">
      <alignment horizontal="center" vertical="center" wrapText="1"/>
    </xf>
    <xf numFmtId="4" fontId="19" fillId="0" borderId="7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4" fontId="19" fillId="0" borderId="21" xfId="0" applyNumberFormat="1" applyFont="1" applyFill="1" applyBorder="1" applyAlignment="1">
      <alignment horizontal="center" vertical="center" wrapText="1"/>
    </xf>
    <xf numFmtId="4" fontId="19" fillId="0" borderId="31" xfId="0" applyNumberFormat="1" applyFont="1" applyFill="1" applyBorder="1" applyAlignment="1">
      <alignment horizontal="center" vertical="center" wrapText="1"/>
    </xf>
    <xf numFmtId="4" fontId="19" fillId="0" borderId="51" xfId="0" applyNumberFormat="1" applyFont="1" applyFill="1" applyBorder="1" applyAlignment="1">
      <alignment horizontal="center" vertical="center" wrapText="1"/>
    </xf>
    <xf numFmtId="4" fontId="19" fillId="0" borderId="53" xfId="0" applyNumberFormat="1" applyFont="1" applyFill="1" applyBorder="1" applyAlignment="1">
      <alignment horizontal="center" vertical="center" wrapText="1"/>
    </xf>
    <xf numFmtId="4" fontId="19" fillId="0" borderId="20" xfId="0" applyNumberFormat="1" applyFont="1" applyFill="1" applyBorder="1" applyAlignment="1">
      <alignment horizontal="center" vertical="center" wrapText="1"/>
    </xf>
    <xf numFmtId="4" fontId="19" fillId="0" borderId="54" xfId="0" applyNumberFormat="1" applyFont="1" applyFill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2" fontId="19" fillId="0" borderId="39" xfId="0" applyNumberFormat="1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left" vertical="center" wrapText="1"/>
    </xf>
    <xf numFmtId="0" fontId="18" fillId="3" borderId="24" xfId="0" applyFont="1" applyFill="1" applyBorder="1" applyAlignment="1">
      <alignment horizontal="left" vertical="center" wrapText="1"/>
    </xf>
    <xf numFmtId="0" fontId="18" fillId="3" borderId="25" xfId="0" applyFont="1" applyFill="1" applyBorder="1" applyAlignment="1">
      <alignment horizontal="left" vertical="center" wrapText="1"/>
    </xf>
    <xf numFmtId="0" fontId="19" fillId="0" borderId="44" xfId="0" applyNumberFormat="1" applyFont="1" applyBorder="1" applyAlignment="1">
      <alignment horizontal="center" vertical="center" wrapText="1"/>
    </xf>
    <xf numFmtId="0" fontId="19" fillId="0" borderId="58" xfId="0" applyNumberFormat="1" applyFont="1" applyBorder="1" applyAlignment="1">
      <alignment horizontal="center" vertical="center" wrapText="1"/>
    </xf>
    <xf numFmtId="0" fontId="19" fillId="0" borderId="32" xfId="0" applyNumberFormat="1" applyFont="1" applyBorder="1" applyAlignment="1">
      <alignment horizontal="center" vertical="center" wrapText="1"/>
    </xf>
    <xf numFmtId="0" fontId="19" fillId="0" borderId="52" xfId="0" applyNumberFormat="1" applyFont="1" applyBorder="1" applyAlignment="1">
      <alignment horizontal="center" vertical="center" wrapText="1"/>
    </xf>
    <xf numFmtId="0" fontId="19" fillId="0" borderId="53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19" fillId="0" borderId="54" xfId="0" applyFont="1" applyFill="1" applyBorder="1" applyAlignment="1">
      <alignment horizontal="center" vertical="center" wrapText="1"/>
    </xf>
    <xf numFmtId="4" fontId="20" fillId="0" borderId="4" xfId="0" applyNumberFormat="1" applyFont="1" applyBorder="1" applyAlignment="1">
      <alignment horizontal="center" vertical="center" wrapText="1"/>
    </xf>
    <xf numFmtId="4" fontId="20" fillId="0" borderId="7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4" fontId="3" fillId="2" borderId="29" xfId="0" applyNumberFormat="1" applyFont="1" applyFill="1" applyBorder="1" applyAlignment="1">
      <alignment horizontal="center" vertical="center" wrapText="1"/>
    </xf>
    <xf numFmtId="4" fontId="3" fillId="2" borderId="39" xfId="0" applyNumberFormat="1" applyFont="1" applyFill="1" applyBorder="1" applyAlignment="1">
      <alignment horizontal="center" vertical="center" wrapText="1"/>
    </xf>
    <xf numFmtId="4" fontId="3" fillId="2" borderId="27" xfId="0" applyNumberFormat="1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2" fontId="19" fillId="0" borderId="6" xfId="0" applyNumberFormat="1" applyFont="1" applyBorder="1" applyAlignment="1">
      <alignment horizontal="center" vertical="center" wrapText="1"/>
    </xf>
    <xf numFmtId="2" fontId="19" fillId="0" borderId="4" xfId="0" applyNumberFormat="1" applyFont="1" applyBorder="1" applyAlignment="1">
      <alignment horizontal="center" vertical="center" wrapText="1"/>
    </xf>
    <xf numFmtId="2" fontId="19" fillId="0" borderId="7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2" fontId="16" fillId="0" borderId="7" xfId="0" applyNumberFormat="1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4" fontId="7" fillId="0" borderId="65" xfId="0" applyNumberFormat="1" applyFont="1" applyBorder="1" applyAlignment="1">
      <alignment horizontal="center" vertical="center"/>
    </xf>
    <xf numFmtId="4" fontId="20" fillId="0" borderId="10" xfId="0" applyNumberFormat="1" applyFont="1" applyBorder="1" applyAlignment="1">
      <alignment horizontal="center" vertical="center"/>
    </xf>
    <xf numFmtId="4" fontId="20" fillId="0" borderId="40" xfId="0" applyNumberFormat="1" applyFont="1" applyBorder="1" applyAlignment="1">
      <alignment horizontal="center" vertical="center"/>
    </xf>
    <xf numFmtId="0" fontId="18" fillId="3" borderId="13" xfId="0" applyFont="1" applyFill="1" applyBorder="1" applyAlignment="1">
      <alignment horizontal="left" vertical="center" wrapText="1"/>
    </xf>
    <xf numFmtId="4" fontId="19" fillId="0" borderId="29" xfId="0" applyNumberFormat="1" applyFont="1" applyFill="1" applyBorder="1" applyAlignment="1">
      <alignment horizontal="center" vertical="center" wrapText="1"/>
    </xf>
    <xf numFmtId="4" fontId="19" fillId="0" borderId="39" xfId="0" applyNumberFormat="1" applyFont="1" applyFill="1" applyBorder="1" applyAlignment="1">
      <alignment horizontal="center" vertical="center" wrapText="1"/>
    </xf>
    <xf numFmtId="4" fontId="19" fillId="0" borderId="27" xfId="0" applyNumberFormat="1" applyFont="1" applyFill="1" applyBorder="1" applyAlignment="1">
      <alignment horizontal="center" vertical="center" wrapText="1"/>
    </xf>
    <xf numFmtId="43" fontId="18" fillId="4" borderId="23" xfId="1" applyFont="1" applyFill="1" applyBorder="1" applyAlignment="1">
      <alignment horizontal="left" vertical="center"/>
    </xf>
    <xf numFmtId="43" fontId="18" fillId="4" borderId="24" xfId="1" applyFont="1" applyFill="1" applyBorder="1" applyAlignment="1">
      <alignment horizontal="left" vertical="center"/>
    </xf>
    <xf numFmtId="43" fontId="18" fillId="4" borderId="25" xfId="1" applyFont="1" applyFill="1" applyBorder="1" applyAlignment="1">
      <alignment horizontal="left" vertical="center"/>
    </xf>
    <xf numFmtId="0" fontId="35" fillId="2" borderId="12" xfId="0" applyFont="1" applyFill="1" applyBorder="1" applyAlignment="1">
      <alignment horizontal="center" vertical="center"/>
    </xf>
    <xf numFmtId="0" fontId="35" fillId="2" borderId="13" xfId="0" applyFont="1" applyFill="1" applyBorder="1" applyAlignment="1">
      <alignment horizontal="center" vertical="center"/>
    </xf>
    <xf numFmtId="0" fontId="35" fillId="2" borderId="14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center" vertical="center"/>
    </xf>
    <xf numFmtId="0" fontId="31" fillId="2" borderId="8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0" fontId="35" fillId="2" borderId="0" xfId="0" applyFont="1" applyFill="1" applyBorder="1" applyAlignment="1">
      <alignment horizontal="center" vertical="center"/>
    </xf>
    <xf numFmtId="0" fontId="35" fillId="2" borderId="8" xfId="0" applyFont="1" applyFill="1" applyBorder="1" applyAlignment="1">
      <alignment horizontal="center" vertical="center"/>
    </xf>
    <xf numFmtId="14" fontId="32" fillId="2" borderId="1" xfId="0" applyNumberFormat="1" applyFont="1" applyFill="1" applyBorder="1" applyAlignment="1">
      <alignment horizontal="right" vertical="center"/>
    </xf>
    <xf numFmtId="0" fontId="32" fillId="2" borderId="0" xfId="0" applyFont="1" applyFill="1" applyBorder="1" applyAlignment="1">
      <alignment horizontal="right" vertical="center"/>
    </xf>
    <xf numFmtId="0" fontId="32" fillId="2" borderId="8" xfId="0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9" fillId="0" borderId="15" xfId="0" applyNumberFormat="1" applyFont="1" applyBorder="1" applyAlignment="1">
      <alignment horizontal="center" vertical="center" wrapText="1"/>
    </xf>
    <xf numFmtId="4" fontId="19" fillId="0" borderId="6" xfId="0" applyNumberFormat="1" applyFont="1" applyFill="1" applyBorder="1" applyAlignment="1">
      <alignment horizontal="center" vertical="center" wrapText="1"/>
    </xf>
    <xf numFmtId="4" fontId="19" fillId="0" borderId="4" xfId="0" applyNumberFormat="1" applyFont="1" applyFill="1" applyBorder="1" applyAlignment="1">
      <alignment horizontal="center" vertical="center" wrapText="1"/>
    </xf>
    <xf numFmtId="4" fontId="19" fillId="0" borderId="7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3" fontId="19" fillId="0" borderId="29" xfId="0" applyNumberFormat="1" applyFont="1" applyFill="1" applyBorder="1" applyAlignment="1">
      <alignment horizontal="center" vertical="center" wrapText="1"/>
    </xf>
    <xf numFmtId="3" fontId="19" fillId="0" borderId="39" xfId="0" applyNumberFormat="1" applyFont="1" applyFill="1" applyBorder="1" applyAlignment="1">
      <alignment horizontal="center" vertical="center" wrapText="1"/>
    </xf>
    <xf numFmtId="3" fontId="19" fillId="0" borderId="27" xfId="0" applyNumberFormat="1" applyFont="1" applyFill="1" applyBorder="1" applyAlignment="1">
      <alignment horizontal="center" vertical="center" wrapText="1"/>
    </xf>
    <xf numFmtId="4" fontId="19" fillId="0" borderId="61" xfId="0" applyNumberFormat="1" applyFont="1" applyFill="1" applyBorder="1" applyAlignment="1">
      <alignment horizontal="center" vertical="center" wrapText="1"/>
    </xf>
    <xf numFmtId="0" fontId="19" fillId="0" borderId="56" xfId="0" applyFont="1" applyFill="1" applyBorder="1" applyAlignment="1">
      <alignment horizontal="center" vertical="center" wrapText="1"/>
    </xf>
    <xf numFmtId="0" fontId="19" fillId="0" borderId="62" xfId="0" applyFont="1" applyFill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4" fontId="16" fillId="0" borderId="29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21" fillId="2" borderId="12" xfId="0" applyFont="1" applyFill="1" applyBorder="1" applyAlignment="1">
      <alignment horizontal="center"/>
    </xf>
    <xf numFmtId="0" fontId="21" fillId="2" borderId="13" xfId="0" applyFont="1" applyFill="1" applyBorder="1" applyAlignment="1">
      <alignment horizontal="center"/>
    </xf>
    <xf numFmtId="0" fontId="21" fillId="2" borderId="14" xfId="0" applyFont="1" applyFill="1" applyBorder="1" applyAlignment="1">
      <alignment horizontal="center"/>
    </xf>
    <xf numFmtId="0" fontId="48" fillId="0" borderId="15" xfId="0" applyFont="1" applyBorder="1" applyAlignment="1">
      <alignment horizontal="right"/>
    </xf>
    <xf numFmtId="0" fontId="48" fillId="0" borderId="53" xfId="0" applyFont="1" applyBorder="1" applyAlignment="1">
      <alignment horizontal="right"/>
    </xf>
    <xf numFmtId="0" fontId="21" fillId="0" borderId="23" xfId="0" applyFont="1" applyBorder="1" applyAlignment="1">
      <alignment horizontal="right"/>
    </xf>
    <xf numFmtId="0" fontId="21" fillId="0" borderId="24" xfId="0" applyFont="1" applyBorder="1" applyAlignment="1">
      <alignment horizontal="right"/>
    </xf>
    <xf numFmtId="164" fontId="22" fillId="0" borderId="20" xfId="0" applyNumberFormat="1" applyFont="1" applyBorder="1" applyAlignment="1">
      <alignment horizontal="center"/>
    </xf>
    <xf numFmtId="164" fontId="22" fillId="0" borderId="49" xfId="0" applyNumberFormat="1" applyFont="1" applyBorder="1" applyAlignment="1">
      <alignment horizont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4" borderId="32" xfId="0" applyNumberFormat="1" applyFont="1" applyFill="1" applyBorder="1" applyAlignment="1">
      <alignment horizontal="center" vertical="center"/>
    </xf>
    <xf numFmtId="0" fontId="21" fillId="4" borderId="52" xfId="0" applyNumberFormat="1" applyFont="1" applyFill="1" applyBorder="1" applyAlignment="1">
      <alignment horizontal="center" vertical="center"/>
    </xf>
    <xf numFmtId="0" fontId="21" fillId="4" borderId="64" xfId="0" applyFont="1" applyFill="1" applyBorder="1" applyAlignment="1">
      <alignment horizontal="center" vertical="center"/>
    </xf>
    <xf numFmtId="0" fontId="21" fillId="4" borderId="65" xfId="0" applyFont="1" applyFill="1" applyBorder="1" applyAlignment="1">
      <alignment horizontal="center" vertical="center"/>
    </xf>
    <xf numFmtId="0" fontId="36" fillId="2" borderId="0" xfId="0" applyFont="1" applyFill="1" applyBorder="1" applyAlignment="1">
      <alignment horizontal="center"/>
    </xf>
    <xf numFmtId="0" fontId="36" fillId="2" borderId="8" xfId="0" applyFont="1" applyFill="1" applyBorder="1" applyAlignment="1">
      <alignment horizontal="center"/>
    </xf>
    <xf numFmtId="0" fontId="34" fillId="2" borderId="0" xfId="0" applyFont="1" applyFill="1" applyBorder="1" applyAlignment="1">
      <alignment horizontal="center"/>
    </xf>
    <xf numFmtId="0" fontId="34" fillId="2" borderId="8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/>
    </xf>
    <xf numFmtId="0" fontId="21" fillId="2" borderId="8" xfId="0" applyFont="1" applyFill="1" applyBorder="1" applyAlignment="1">
      <alignment horizontal="center"/>
    </xf>
    <xf numFmtId="0" fontId="21" fillId="4" borderId="23" xfId="0" applyNumberFormat="1" applyFont="1" applyFill="1" applyBorder="1" applyAlignment="1">
      <alignment horizontal="center" vertical="center"/>
    </xf>
    <xf numFmtId="0" fontId="21" fillId="4" borderId="24" xfId="0" applyNumberFormat="1" applyFont="1" applyFill="1" applyBorder="1" applyAlignment="1">
      <alignment horizontal="center" vertical="center"/>
    </xf>
    <xf numFmtId="0" fontId="21" fillId="4" borderId="25" xfId="0" applyNumberFormat="1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/>
    </xf>
    <xf numFmtId="0" fontId="21" fillId="2" borderId="11" xfId="0" applyFont="1" applyFill="1" applyBorder="1" applyAlignment="1">
      <alignment horizontal="center"/>
    </xf>
    <xf numFmtId="0" fontId="25" fillId="2" borderId="10" xfId="0" applyFont="1" applyFill="1" applyBorder="1" applyAlignment="1">
      <alignment horizontal="center"/>
    </xf>
    <xf numFmtId="0" fontId="20" fillId="2" borderId="13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/>
    </xf>
    <xf numFmtId="0" fontId="50" fillId="0" borderId="26" xfId="0" applyFont="1" applyBorder="1" applyAlignment="1">
      <alignment horizontal="right"/>
    </xf>
    <xf numFmtId="0" fontId="50" fillId="0" borderId="30" xfId="0" applyFont="1" applyBorder="1" applyAlignment="1">
      <alignment horizontal="right"/>
    </xf>
    <xf numFmtId="164" fontId="21" fillId="4" borderId="12" xfId="0" applyNumberFormat="1" applyFont="1" applyFill="1" applyBorder="1" applyAlignment="1">
      <alignment horizontal="center" vertical="center" wrapText="1"/>
    </xf>
    <xf numFmtId="164" fontId="21" fillId="4" borderId="0" xfId="0" applyNumberFormat="1" applyFont="1" applyFill="1" applyBorder="1" applyAlignment="1">
      <alignment horizontal="center" vertical="center" wrapText="1"/>
    </xf>
    <xf numFmtId="43" fontId="21" fillId="4" borderId="55" xfId="1" applyFont="1" applyFill="1" applyBorder="1" applyAlignment="1">
      <alignment horizontal="center" vertical="center" wrapText="1"/>
    </xf>
    <xf numFmtId="43" fontId="21" fillId="4" borderId="63" xfId="1" applyFont="1" applyFill="1" applyBorder="1" applyAlignment="1">
      <alignment horizontal="center" vertical="center" wrapText="1"/>
    </xf>
    <xf numFmtId="0" fontId="43" fillId="2" borderId="13" xfId="0" applyFont="1" applyFill="1" applyBorder="1" applyAlignment="1">
      <alignment horizontal="center"/>
    </xf>
    <xf numFmtId="0" fontId="43" fillId="2" borderId="14" xfId="0" applyFont="1" applyFill="1" applyBorder="1" applyAlignment="1">
      <alignment horizontal="center"/>
    </xf>
    <xf numFmtId="0" fontId="38" fillId="2" borderId="0" xfId="0" applyFont="1" applyFill="1" applyBorder="1" applyAlignment="1">
      <alignment horizontal="center"/>
    </xf>
    <xf numFmtId="0" fontId="38" fillId="2" borderId="8" xfId="0" applyFont="1" applyFill="1" applyBorder="1" applyAlignment="1">
      <alignment horizontal="center"/>
    </xf>
    <xf numFmtId="0" fontId="37" fillId="2" borderId="22" xfId="0" applyFont="1" applyFill="1" applyBorder="1" applyAlignment="1">
      <alignment horizontal="center"/>
    </xf>
    <xf numFmtId="0" fontId="37" fillId="2" borderId="20" xfId="0" applyFont="1" applyFill="1" applyBorder="1" applyAlignment="1">
      <alignment horizontal="center"/>
    </xf>
    <xf numFmtId="0" fontId="37" fillId="2" borderId="49" xfId="0" applyFont="1" applyFill="1" applyBorder="1" applyAlignment="1">
      <alignment horizontal="center"/>
    </xf>
    <xf numFmtId="0" fontId="42" fillId="2" borderId="0" xfId="0" applyFont="1" applyFill="1" applyBorder="1" applyAlignment="1">
      <alignment horizontal="center"/>
    </xf>
    <xf numFmtId="0" fontId="42" fillId="2" borderId="8" xfId="0" applyFont="1" applyFill="1" applyBorder="1" applyAlignment="1">
      <alignment horizontal="center"/>
    </xf>
    <xf numFmtId="0" fontId="37" fillId="2" borderId="3" xfId="0" applyFont="1" applyFill="1" applyBorder="1" applyAlignment="1">
      <alignment horizontal="center"/>
    </xf>
    <xf numFmtId="0" fontId="37" fillId="2" borderId="4" xfId="0" applyFont="1" applyFill="1" applyBorder="1" applyAlignment="1">
      <alignment horizontal="center"/>
    </xf>
    <xf numFmtId="0" fontId="37" fillId="2" borderId="48" xfId="0" applyFont="1" applyFill="1" applyBorder="1" applyAlignment="1">
      <alignment horizontal="center"/>
    </xf>
    <xf numFmtId="10" fontId="39" fillId="6" borderId="24" xfId="0" applyNumberFormat="1" applyFont="1" applyFill="1" applyBorder="1" applyAlignment="1">
      <alignment horizontal="center"/>
    </xf>
    <xf numFmtId="10" fontId="39" fillId="6" borderId="25" xfId="0" applyNumberFormat="1" applyFont="1" applyFill="1" applyBorder="1" applyAlignment="1">
      <alignment horizontal="center"/>
    </xf>
    <xf numFmtId="0" fontId="37" fillId="2" borderId="12" xfId="0" applyFont="1" applyFill="1" applyBorder="1" applyAlignment="1">
      <alignment horizontal="center"/>
    </xf>
    <xf numFmtId="0" fontId="37" fillId="2" borderId="1" xfId="0" applyFont="1" applyFill="1" applyBorder="1" applyAlignment="1">
      <alignment horizontal="center"/>
    </xf>
    <xf numFmtId="44" fontId="40" fillId="2" borderId="13" xfId="4" applyFont="1" applyFill="1" applyBorder="1" applyAlignment="1">
      <alignment horizontal="center"/>
    </xf>
    <xf numFmtId="44" fontId="40" fillId="2" borderId="14" xfId="4" applyFont="1" applyFill="1" applyBorder="1" applyAlignment="1">
      <alignment horizontal="center"/>
    </xf>
    <xf numFmtId="44" fontId="40" fillId="2" borderId="0" xfId="4" applyFont="1" applyFill="1" applyBorder="1" applyAlignment="1">
      <alignment horizontal="center"/>
    </xf>
    <xf numFmtId="44" fontId="40" fillId="2" borderId="8" xfId="4" applyFont="1" applyFill="1" applyBorder="1" applyAlignment="1">
      <alignment horizontal="center"/>
    </xf>
    <xf numFmtId="2" fontId="41" fillId="2" borderId="0" xfId="0" applyNumberFormat="1" applyFont="1" applyFill="1" applyBorder="1" applyAlignment="1">
      <alignment horizontal="center"/>
    </xf>
    <xf numFmtId="0" fontId="41" fillId="2" borderId="8" xfId="0" applyFont="1" applyFill="1" applyBorder="1" applyAlignment="1">
      <alignment horizontal="center"/>
    </xf>
  </cellXfs>
  <cellStyles count="5">
    <cellStyle name="Moeda" xfId="2" builtinId="4"/>
    <cellStyle name="Moeda 2" xf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50006</xdr:colOff>
      <xdr:row>1</xdr:row>
      <xdr:rowOff>41621</xdr:rowOff>
    </xdr:from>
    <xdr:to>
      <xdr:col>4</xdr:col>
      <xdr:colOff>1107109</xdr:colOff>
      <xdr:row>4</xdr:row>
      <xdr:rowOff>178337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071" y="207273"/>
          <a:ext cx="2525886" cy="766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82664</xdr:colOff>
      <xdr:row>1</xdr:row>
      <xdr:rowOff>63500</xdr:rowOff>
    </xdr:from>
    <xdr:to>
      <xdr:col>2</xdr:col>
      <xdr:colOff>2692408</xdr:colOff>
      <xdr:row>6</xdr:row>
      <xdr:rowOff>12700</xdr:rowOff>
    </xdr:to>
    <xdr:pic>
      <xdr:nvPicPr>
        <xdr:cNvPr id="3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9" r="2"/>
        <a:stretch>
          <a:fillRect/>
        </a:stretch>
      </xdr:blipFill>
      <xdr:spPr bwMode="auto">
        <a:xfrm>
          <a:off x="755764" y="254000"/>
          <a:ext cx="3244744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318923</xdr:colOff>
      <xdr:row>1</xdr:row>
      <xdr:rowOff>149577</xdr:rowOff>
    </xdr:from>
    <xdr:to>
      <xdr:col>2</xdr:col>
      <xdr:colOff>3104444</xdr:colOff>
      <xdr:row>5</xdr:row>
      <xdr:rowOff>174493</xdr:rowOff>
    </xdr:to>
    <xdr:pic>
      <xdr:nvPicPr>
        <xdr:cNvPr id="3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9" r="2"/>
        <a:stretch>
          <a:fillRect/>
        </a:stretch>
      </xdr:blipFill>
      <xdr:spPr bwMode="auto">
        <a:xfrm>
          <a:off x="996256" y="347133"/>
          <a:ext cx="3237077" cy="928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25400</xdr:colOff>
      <xdr:row>18</xdr:row>
      <xdr:rowOff>88900</xdr:rowOff>
    </xdr:from>
    <xdr:to>
      <xdr:col>5</xdr:col>
      <xdr:colOff>1282700</xdr:colOff>
      <xdr:row>24</xdr:row>
      <xdr:rowOff>171450</xdr:rowOff>
    </xdr:to>
    <xdr:pic>
      <xdr:nvPicPr>
        <xdr:cNvPr id="4" name="Imagem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966"/>
        <a:stretch>
          <a:fillRect/>
        </a:stretch>
      </xdr:blipFill>
      <xdr:spPr bwMode="auto">
        <a:xfrm>
          <a:off x="3022600" y="3835400"/>
          <a:ext cx="6248400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50800</xdr:colOff>
      <xdr:row>1</xdr:row>
      <xdr:rowOff>63500</xdr:rowOff>
    </xdr:from>
    <xdr:to>
      <xdr:col>3</xdr:col>
      <xdr:colOff>2241550</xdr:colOff>
      <xdr:row>3</xdr:row>
      <xdr:rowOff>38100</xdr:rowOff>
    </xdr:to>
    <xdr:pic>
      <xdr:nvPicPr>
        <xdr:cNvPr id="5" name="Imagem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79400"/>
          <a:ext cx="219075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35"/>
  <sheetViews>
    <sheetView tabSelected="1" view="pageBreakPreview" zoomScaleSheetLayoutView="115" workbookViewId="0">
      <selection activeCell="H14" sqref="H14"/>
    </sheetView>
  </sheetViews>
  <sheetFormatPr defaultColWidth="8.85546875" defaultRowHeight="12"/>
  <cols>
    <col min="1" max="1" width="8.85546875" style="6"/>
    <col min="2" max="2" width="6.85546875" style="13" customWidth="1"/>
    <col min="3" max="3" width="8.140625" style="13" customWidth="1"/>
    <col min="4" max="4" width="6.85546875" style="13" customWidth="1"/>
    <col min="5" max="5" width="53.42578125" style="6" customWidth="1"/>
    <col min="6" max="6" width="8.42578125" style="14" customWidth="1"/>
    <col min="7" max="7" width="6.7109375" style="13" customWidth="1"/>
    <col min="8" max="8" width="10.42578125" style="15" customWidth="1"/>
    <col min="9" max="9" width="16.140625" style="15" customWidth="1"/>
    <col min="10" max="10" width="18" style="15" customWidth="1"/>
    <col min="11" max="11" width="15.140625" style="29" customWidth="1"/>
    <col min="12" max="16384" width="8.85546875" style="6"/>
  </cols>
  <sheetData>
    <row r="1" spans="2:11" ht="12.75" thickBot="1">
      <c r="K1" s="16"/>
    </row>
    <row r="2" spans="2:11" ht="18.75">
      <c r="B2" s="519" t="s">
        <v>133</v>
      </c>
      <c r="C2" s="520"/>
      <c r="D2" s="520"/>
      <c r="E2" s="520"/>
      <c r="F2" s="520"/>
      <c r="G2" s="520"/>
      <c r="H2" s="520"/>
      <c r="I2" s="520"/>
      <c r="J2" s="521"/>
      <c r="K2" s="17"/>
    </row>
    <row r="3" spans="2:11" ht="15.75">
      <c r="B3" s="513" t="s">
        <v>1</v>
      </c>
      <c r="C3" s="514"/>
      <c r="D3" s="514"/>
      <c r="E3" s="514"/>
      <c r="F3" s="514"/>
      <c r="G3" s="514"/>
      <c r="H3" s="514"/>
      <c r="I3" s="514"/>
      <c r="J3" s="515"/>
      <c r="K3" s="17"/>
    </row>
    <row r="4" spans="2:11" ht="15">
      <c r="B4" s="516" t="s">
        <v>8</v>
      </c>
      <c r="C4" s="517"/>
      <c r="D4" s="517"/>
      <c r="E4" s="517"/>
      <c r="F4" s="517"/>
      <c r="G4" s="517"/>
      <c r="H4" s="517"/>
      <c r="I4" s="517"/>
      <c r="J4" s="518"/>
      <c r="K4" s="17"/>
    </row>
    <row r="5" spans="2:11" ht="15">
      <c r="B5" s="516" t="s">
        <v>179</v>
      </c>
      <c r="C5" s="517"/>
      <c r="D5" s="517"/>
      <c r="E5" s="517"/>
      <c r="F5" s="517"/>
      <c r="G5" s="517"/>
      <c r="H5" s="517"/>
      <c r="I5" s="517"/>
      <c r="J5" s="518"/>
      <c r="K5" s="17"/>
    </row>
    <row r="6" spans="2:11" ht="15" customHeight="1">
      <c r="B6" s="527" t="s">
        <v>514</v>
      </c>
      <c r="C6" s="528"/>
      <c r="D6" s="528"/>
      <c r="E6" s="528"/>
      <c r="F6" s="528"/>
      <c r="G6" s="528"/>
      <c r="H6" s="528"/>
      <c r="I6" s="528"/>
      <c r="J6" s="529"/>
      <c r="K6" s="7"/>
    </row>
    <row r="7" spans="2:11" ht="15" customHeight="1">
      <c r="B7" s="527" t="s">
        <v>515</v>
      </c>
      <c r="C7" s="528"/>
      <c r="D7" s="528"/>
      <c r="E7" s="528"/>
      <c r="F7" s="528"/>
      <c r="G7" s="528"/>
      <c r="H7" s="528"/>
      <c r="I7" s="528"/>
      <c r="J7" s="529"/>
      <c r="K7" s="7"/>
    </row>
    <row r="8" spans="2:11" ht="16.5" customHeight="1" thickBot="1">
      <c r="B8" s="524" t="s">
        <v>180</v>
      </c>
      <c r="C8" s="525"/>
      <c r="D8" s="525"/>
      <c r="E8" s="525"/>
      <c r="F8" s="525"/>
      <c r="G8" s="525"/>
      <c r="H8" s="525"/>
      <c r="I8" s="525"/>
      <c r="J8" s="526"/>
      <c r="K8" s="7"/>
    </row>
    <row r="9" spans="2:11" ht="15.95" customHeight="1" thickBot="1">
      <c r="B9" s="530"/>
      <c r="C9" s="531"/>
      <c r="D9" s="531"/>
      <c r="E9" s="531"/>
      <c r="F9" s="531"/>
      <c r="G9" s="531"/>
      <c r="H9" s="531"/>
      <c r="I9" s="531"/>
      <c r="J9" s="532"/>
      <c r="K9" s="7"/>
    </row>
    <row r="10" spans="2:11" s="13" customFormat="1" ht="31.5" customHeight="1" thickBot="1">
      <c r="B10" s="30" t="s">
        <v>2</v>
      </c>
      <c r="C10" s="522" t="s">
        <v>9</v>
      </c>
      <c r="D10" s="523"/>
      <c r="E10" s="141" t="s">
        <v>3</v>
      </c>
      <c r="F10" s="31" t="s">
        <v>10</v>
      </c>
      <c r="G10" s="32" t="s">
        <v>29</v>
      </c>
      <c r="H10" s="33" t="s">
        <v>11</v>
      </c>
      <c r="I10" s="33" t="s">
        <v>12</v>
      </c>
      <c r="J10" s="34" t="s">
        <v>6</v>
      </c>
      <c r="K10" s="8"/>
    </row>
    <row r="11" spans="2:11" ht="15.95" customHeight="1" thickBot="1">
      <c r="B11" s="506" t="s">
        <v>30</v>
      </c>
      <c r="C11" s="507"/>
      <c r="D11" s="507"/>
      <c r="E11" s="507"/>
      <c r="F11" s="507"/>
      <c r="G11" s="507"/>
      <c r="H11" s="507"/>
      <c r="I11" s="507"/>
      <c r="J11" s="508"/>
      <c r="K11" s="7"/>
    </row>
    <row r="12" spans="2:11">
      <c r="B12" s="18" t="s">
        <v>58</v>
      </c>
      <c r="C12" s="19" t="s">
        <v>15</v>
      </c>
      <c r="D12" s="19">
        <v>20106</v>
      </c>
      <c r="E12" s="49" t="s">
        <v>181</v>
      </c>
      <c r="F12" s="95">
        <f>'Memória de cálculo'!H12+'Memória de cálculo'!H13+'Memória de cálculo'!H14+'Memória de cálculo'!H15+'Memória de cálculo'!H16+'Memória de cálculo'!H17+'Memória de cálculo'!H18+'Memória de cálculo'!H19+'Memória de cálculo'!H20+'Memória de cálculo'!H21+'Memória de cálculo'!H22+'Memória de cálculo'!H23+'Memória de cálculo'!H24+'Memória de cálculo'!H25</f>
        <v>76.209999999999994</v>
      </c>
      <c r="G12" s="19" t="s">
        <v>137</v>
      </c>
      <c r="H12" s="499"/>
      <c r="I12" s="499"/>
      <c r="J12" s="35">
        <f t="shared" ref="J12:J17" si="0">ROUNDUP((I12+H12)*F12,2)</f>
        <v>0</v>
      </c>
      <c r="K12" s="7"/>
    </row>
    <row r="13" spans="2:11" ht="24">
      <c r="B13" s="18" t="s">
        <v>59</v>
      </c>
      <c r="C13" s="19" t="s">
        <v>15</v>
      </c>
      <c r="D13" s="19">
        <v>20115</v>
      </c>
      <c r="E13" s="49" t="s">
        <v>138</v>
      </c>
      <c r="F13" s="95">
        <f>'Memória de cálculo'!H27+'Memória de cálculo'!H28+'Memória de cálculo'!H29+'Memória de cálculo'!H30+'Memória de cálculo'!H31+'Memória de cálculo'!H32+'Memória de cálculo'!H33+'Memória de cálculo'!H34+'Memória de cálculo'!H35</f>
        <v>234.64</v>
      </c>
      <c r="G13" s="19" t="s">
        <v>137</v>
      </c>
      <c r="H13" s="499"/>
      <c r="I13" s="499"/>
      <c r="J13" s="35">
        <f t="shared" si="0"/>
        <v>0</v>
      </c>
      <c r="K13" s="7"/>
    </row>
    <row r="14" spans="2:11">
      <c r="B14" s="18" t="s">
        <v>60</v>
      </c>
      <c r="C14" s="19" t="s">
        <v>15</v>
      </c>
      <c r="D14" s="19">
        <v>20117</v>
      </c>
      <c r="E14" s="49" t="s">
        <v>139</v>
      </c>
      <c r="F14" s="95">
        <f>'Memória de cálculo'!H37+'Memória de cálculo'!H38+'Memória de cálculo'!H39+'Memória de cálculo'!H40+'Memória de cálculo'!H41+'Memória de cálculo'!H42+'Memória de cálculo'!H43+'Memória de cálculo'!H44+'Memória de cálculo'!H45+'Memória de cálculo'!H46</f>
        <v>131.78</v>
      </c>
      <c r="G14" s="19" t="s">
        <v>137</v>
      </c>
      <c r="H14" s="499"/>
      <c r="I14" s="499"/>
      <c r="J14" s="35">
        <f t="shared" si="0"/>
        <v>0</v>
      </c>
      <c r="K14" s="7"/>
    </row>
    <row r="15" spans="2:11">
      <c r="B15" s="18" t="s">
        <v>61</v>
      </c>
      <c r="C15" s="19" t="s">
        <v>15</v>
      </c>
      <c r="D15" s="19">
        <v>20118</v>
      </c>
      <c r="E15" s="49" t="s">
        <v>182</v>
      </c>
      <c r="F15" s="95">
        <f>'Memória de cálculo'!H48+'Memória de cálculo'!H49+'Memória de cálculo'!H50+'Memória de cálculo'!H51+'Memória de cálculo'!H52+'Memória de cálculo'!H53+'Memória de cálculo'!H54+'Memória de cálculo'!H55+'Memória de cálculo'!H56+'Memória de cálculo'!H57+'Memória de cálculo'!H58+'Memória de cálculo'!H59+'Memória de cálculo'!H60+'Memória de cálculo'!H61+'Memória de cálculo'!H62</f>
        <v>225.51000000000002</v>
      </c>
      <c r="G15" s="19" t="s">
        <v>140</v>
      </c>
      <c r="H15" s="499"/>
      <c r="I15" s="499"/>
      <c r="J15" s="35">
        <f t="shared" si="0"/>
        <v>0</v>
      </c>
      <c r="K15" s="7"/>
    </row>
    <row r="16" spans="2:11">
      <c r="B16" s="18" t="s">
        <v>67</v>
      </c>
      <c r="C16" s="19" t="s">
        <v>15</v>
      </c>
      <c r="D16" s="19">
        <v>20121</v>
      </c>
      <c r="E16" s="49" t="s">
        <v>183</v>
      </c>
      <c r="F16" s="95">
        <f>'Memória de cálculo'!H64</f>
        <v>9.5579999999999998</v>
      </c>
      <c r="G16" s="19" t="s">
        <v>140</v>
      </c>
      <c r="H16" s="499"/>
      <c r="I16" s="499"/>
      <c r="J16" s="35">
        <f t="shared" si="0"/>
        <v>0</v>
      </c>
      <c r="K16" s="7"/>
    </row>
    <row r="17" spans="2:14">
      <c r="B17" s="18" t="s">
        <v>68</v>
      </c>
      <c r="C17" s="19" t="s">
        <v>15</v>
      </c>
      <c r="D17" s="19">
        <v>20137</v>
      </c>
      <c r="E17" s="49" t="s">
        <v>184</v>
      </c>
      <c r="F17" s="102">
        <f>'Memória de cálculo'!H66+'Memória de cálculo'!H67+'Memória de cálculo'!H68+'Memória de cálculo'!H69+'Memória de cálculo'!H70+'Memória de cálculo'!H71</f>
        <v>9</v>
      </c>
      <c r="G17" s="19" t="s">
        <v>147</v>
      </c>
      <c r="H17" s="499"/>
      <c r="I17" s="499"/>
      <c r="J17" s="35">
        <f t="shared" si="0"/>
        <v>0</v>
      </c>
      <c r="K17" s="7"/>
    </row>
    <row r="18" spans="2:14">
      <c r="B18" s="18" t="s">
        <v>74</v>
      </c>
      <c r="C18" s="19" t="s">
        <v>15</v>
      </c>
      <c r="D18" s="19">
        <v>20138</v>
      </c>
      <c r="E18" s="49" t="s">
        <v>185</v>
      </c>
      <c r="F18" s="102">
        <f>'Memória de cálculo'!H73+'Memória de cálculo'!H74+'Memória de cálculo'!H75+'Memória de cálculo'!H76</f>
        <v>4</v>
      </c>
      <c r="G18" s="19" t="s">
        <v>147</v>
      </c>
      <c r="H18" s="499"/>
      <c r="I18" s="499"/>
      <c r="J18" s="35">
        <f t="shared" ref="J18:J28" si="1">ROUNDUP((I18+H18)*F18,2)</f>
        <v>0</v>
      </c>
      <c r="K18" s="7"/>
    </row>
    <row r="19" spans="2:14">
      <c r="B19" s="18" t="s">
        <v>75</v>
      </c>
      <c r="C19" s="19" t="s">
        <v>15</v>
      </c>
      <c r="D19" s="19">
        <v>20139</v>
      </c>
      <c r="E19" s="49" t="s">
        <v>186</v>
      </c>
      <c r="F19" s="95">
        <f>'Memória de cálculo'!H78+'Memória de cálculo'!H79+'Memória de cálculo'!H80+'Memória de cálculo'!H81+'Memória de cálculo'!H82</f>
        <v>9</v>
      </c>
      <c r="G19" s="19" t="s">
        <v>137</v>
      </c>
      <c r="H19" s="499"/>
      <c r="I19" s="499"/>
      <c r="J19" s="35">
        <f t="shared" si="1"/>
        <v>0</v>
      </c>
      <c r="K19" s="7"/>
    </row>
    <row r="20" spans="2:14">
      <c r="B20" s="18" t="s">
        <v>76</v>
      </c>
      <c r="C20" s="19" t="s">
        <v>15</v>
      </c>
      <c r="D20" s="19">
        <v>20140</v>
      </c>
      <c r="E20" s="49" t="s">
        <v>187</v>
      </c>
      <c r="F20" s="102">
        <f>'Memória de cálculo'!H84+'Memória de cálculo'!H85+'Memória de cálculo'!H86+'Memória de cálculo'!H87+'Memória de cálculo'!H88+'Memória de cálculo'!H89</f>
        <v>9</v>
      </c>
      <c r="G20" s="19" t="s">
        <v>147</v>
      </c>
      <c r="H20" s="499"/>
      <c r="I20" s="499"/>
      <c r="J20" s="35">
        <f t="shared" si="1"/>
        <v>0</v>
      </c>
      <c r="K20" s="7"/>
    </row>
    <row r="21" spans="2:14">
      <c r="B21" s="18" t="s">
        <v>175</v>
      </c>
      <c r="C21" s="19" t="s">
        <v>15</v>
      </c>
      <c r="D21" s="19">
        <v>20143</v>
      </c>
      <c r="E21" s="49" t="s">
        <v>188</v>
      </c>
      <c r="F21" s="95">
        <f>'Memória de cálculo'!H91</f>
        <v>20</v>
      </c>
      <c r="G21" s="19" t="s">
        <v>142</v>
      </c>
      <c r="H21" s="499"/>
      <c r="I21" s="499"/>
      <c r="J21" s="35">
        <f t="shared" si="1"/>
        <v>0</v>
      </c>
      <c r="K21" s="7"/>
    </row>
    <row r="22" spans="2:14">
      <c r="B22" s="18" t="s">
        <v>195</v>
      </c>
      <c r="C22" s="19" t="s">
        <v>15</v>
      </c>
      <c r="D22" s="19">
        <v>20149</v>
      </c>
      <c r="E22" s="49" t="s">
        <v>378</v>
      </c>
      <c r="F22" s="95">
        <f>'Memória de cálculo'!H93</f>
        <v>9.379999999999999</v>
      </c>
      <c r="G22" s="19" t="s">
        <v>137</v>
      </c>
      <c r="H22" s="499"/>
      <c r="I22" s="499"/>
      <c r="J22" s="35">
        <f t="shared" si="1"/>
        <v>0</v>
      </c>
      <c r="K22" s="7"/>
    </row>
    <row r="23" spans="2:14">
      <c r="B23" s="18" t="s">
        <v>196</v>
      </c>
      <c r="C23" s="19" t="s">
        <v>15</v>
      </c>
      <c r="D23" s="19">
        <v>20157</v>
      </c>
      <c r="E23" s="49" t="s">
        <v>189</v>
      </c>
      <c r="F23" s="95">
        <f>'Memória de cálculo'!H95</f>
        <v>28.35</v>
      </c>
      <c r="G23" s="19" t="s">
        <v>137</v>
      </c>
      <c r="H23" s="499"/>
      <c r="I23" s="499"/>
      <c r="J23" s="35">
        <f t="shared" si="1"/>
        <v>0</v>
      </c>
      <c r="K23" s="7"/>
    </row>
    <row r="24" spans="2:14" ht="24">
      <c r="B24" s="18" t="s">
        <v>197</v>
      </c>
      <c r="C24" s="19" t="s">
        <v>15</v>
      </c>
      <c r="D24" s="19">
        <v>20162</v>
      </c>
      <c r="E24" s="49" t="s">
        <v>190</v>
      </c>
      <c r="F24" s="102">
        <f>'Memória de cálculo'!H97</f>
        <v>360</v>
      </c>
      <c r="G24" s="19" t="s">
        <v>166</v>
      </c>
      <c r="H24" s="499"/>
      <c r="I24" s="499"/>
      <c r="J24" s="35">
        <f t="shared" si="1"/>
        <v>0</v>
      </c>
      <c r="K24" s="7"/>
    </row>
    <row r="25" spans="2:14" ht="24">
      <c r="B25" s="18" t="s">
        <v>198</v>
      </c>
      <c r="C25" s="19" t="s">
        <v>15</v>
      </c>
      <c r="D25" s="19">
        <v>20163</v>
      </c>
      <c r="E25" s="49" t="s">
        <v>191</v>
      </c>
      <c r="F25" s="102">
        <f>'Memória de cálculo'!H99</f>
        <v>360</v>
      </c>
      <c r="G25" s="19" t="s">
        <v>166</v>
      </c>
      <c r="H25" s="499"/>
      <c r="I25" s="499"/>
      <c r="J25" s="35">
        <f t="shared" si="1"/>
        <v>0</v>
      </c>
      <c r="K25" s="7"/>
    </row>
    <row r="26" spans="2:14" ht="24">
      <c r="B26" s="18" t="s">
        <v>199</v>
      </c>
      <c r="C26" s="19" t="s">
        <v>15</v>
      </c>
      <c r="D26" s="19">
        <v>20200</v>
      </c>
      <c r="E26" s="49" t="s">
        <v>192</v>
      </c>
      <c r="F26" s="95">
        <f>'Memória de cálculo'!H101</f>
        <v>1031.95</v>
      </c>
      <c r="G26" s="19" t="s">
        <v>137</v>
      </c>
      <c r="H26" s="499"/>
      <c r="I26" s="499"/>
      <c r="J26" s="35">
        <f t="shared" si="1"/>
        <v>0</v>
      </c>
      <c r="K26" s="7"/>
    </row>
    <row r="27" spans="2:14" ht="36">
      <c r="B27" s="18" t="s">
        <v>200</v>
      </c>
      <c r="C27" s="19" t="s">
        <v>15</v>
      </c>
      <c r="D27" s="19">
        <v>20702</v>
      </c>
      <c r="E27" s="49" t="s">
        <v>193</v>
      </c>
      <c r="F27" s="95">
        <f>'Memória de cálculo'!H103+'Memória de cálculo'!H104</f>
        <v>159.74250000000001</v>
      </c>
      <c r="G27" s="19" t="s">
        <v>137</v>
      </c>
      <c r="H27" s="499"/>
      <c r="I27" s="499"/>
      <c r="J27" s="35">
        <f t="shared" si="1"/>
        <v>0</v>
      </c>
      <c r="K27" s="7"/>
    </row>
    <row r="28" spans="2:14" ht="24">
      <c r="B28" s="18" t="s">
        <v>201</v>
      </c>
      <c r="C28" s="19" t="s">
        <v>15</v>
      </c>
      <c r="D28" s="19">
        <v>21301</v>
      </c>
      <c r="E28" s="49" t="s">
        <v>194</v>
      </c>
      <c r="F28" s="95">
        <f>'Memória de cálculo'!H106</f>
        <v>3</v>
      </c>
      <c r="G28" s="19" t="s">
        <v>137</v>
      </c>
      <c r="H28" s="499"/>
      <c r="I28" s="499"/>
      <c r="J28" s="35">
        <f t="shared" si="1"/>
        <v>0</v>
      </c>
      <c r="K28" s="7"/>
    </row>
    <row r="29" spans="2:14" ht="15.95" customHeight="1" thickBot="1">
      <c r="B29" s="503" t="s">
        <v>173</v>
      </c>
      <c r="C29" s="504"/>
      <c r="D29" s="504"/>
      <c r="E29" s="504"/>
      <c r="F29" s="504"/>
      <c r="G29" s="504"/>
      <c r="H29" s="504"/>
      <c r="I29" s="505"/>
      <c r="J29" s="36">
        <f>SUM(J12:J28)</f>
        <v>0</v>
      </c>
      <c r="K29" s="20">
        <f>J29+(J29*I172)</f>
        <v>0</v>
      </c>
    </row>
    <row r="30" spans="2:14" ht="15.95" customHeight="1" thickBot="1">
      <c r="B30" s="506" t="s">
        <v>69</v>
      </c>
      <c r="C30" s="507"/>
      <c r="D30" s="507"/>
      <c r="E30" s="507"/>
      <c r="F30" s="507"/>
      <c r="G30" s="507"/>
      <c r="H30" s="507"/>
      <c r="I30" s="507"/>
      <c r="J30" s="508"/>
      <c r="K30" s="7"/>
    </row>
    <row r="31" spans="2:14">
      <c r="B31" s="18" t="s">
        <v>62</v>
      </c>
      <c r="C31" s="19" t="s">
        <v>15</v>
      </c>
      <c r="D31" s="98">
        <v>30104</v>
      </c>
      <c r="E31" s="117" t="s">
        <v>202</v>
      </c>
      <c r="F31" s="95">
        <f>'Memória de cálculo'!H109+'Memória de cálculo'!H110+'Memória de cálculo'!H111+'Memória de cálculo'!H112+'Memória de cálculo'!H113+'Memória de cálculo'!H114+'Memória de cálculo'!H115+'Memória de cálculo'!H116+'Memória de cálculo'!H117</f>
        <v>93.744649999999993</v>
      </c>
      <c r="G31" s="19" t="s">
        <v>140</v>
      </c>
      <c r="H31" s="500"/>
      <c r="I31" s="501"/>
      <c r="J31" s="104">
        <f>ROUNDUP((I31+H31)*F31,2)</f>
        <v>0</v>
      </c>
      <c r="K31" s="7"/>
    </row>
    <row r="32" spans="2:14" ht="15.95" customHeight="1" thickBot="1">
      <c r="B32" s="503" t="s">
        <v>14</v>
      </c>
      <c r="C32" s="504"/>
      <c r="D32" s="504"/>
      <c r="E32" s="504"/>
      <c r="F32" s="504"/>
      <c r="G32" s="504"/>
      <c r="H32" s="504"/>
      <c r="I32" s="505"/>
      <c r="J32" s="36">
        <f>SUM(J31:J31)</f>
        <v>0</v>
      </c>
      <c r="K32" s="20">
        <f>J32+(J32*I172)</f>
        <v>0</v>
      </c>
      <c r="L32" s="37"/>
      <c r="M32" s="37"/>
      <c r="N32" s="37"/>
    </row>
    <row r="33" spans="2:11" ht="15.95" customHeight="1" thickBot="1">
      <c r="B33" s="506" t="s">
        <v>205</v>
      </c>
      <c r="C33" s="507"/>
      <c r="D33" s="507"/>
      <c r="E33" s="507"/>
      <c r="F33" s="507"/>
      <c r="G33" s="507"/>
      <c r="H33" s="507"/>
      <c r="I33" s="507"/>
      <c r="J33" s="508"/>
      <c r="K33" s="7"/>
    </row>
    <row r="34" spans="2:11" ht="12" customHeight="1">
      <c r="B34" s="18" t="s">
        <v>63</v>
      </c>
      <c r="C34" s="19" t="s">
        <v>15</v>
      </c>
      <c r="D34" s="98">
        <v>40101</v>
      </c>
      <c r="E34" s="99" t="s">
        <v>203</v>
      </c>
      <c r="F34" s="100">
        <f>'Memória de cálculo'!H120</f>
        <v>16.584</v>
      </c>
      <c r="G34" s="19" t="s">
        <v>140</v>
      </c>
      <c r="H34" s="502"/>
      <c r="I34" s="502"/>
      <c r="J34" s="35">
        <f>ROUNDUP((I34+H34)*F34,2)</f>
        <v>0</v>
      </c>
      <c r="K34" s="7"/>
    </row>
    <row r="35" spans="2:11" ht="12" customHeight="1">
      <c r="B35" s="18" t="s">
        <v>64</v>
      </c>
      <c r="C35" s="19" t="s">
        <v>15</v>
      </c>
      <c r="D35" s="98">
        <v>40902</v>
      </c>
      <c r="E35" s="99" t="s">
        <v>204</v>
      </c>
      <c r="F35" s="100">
        <f>'Memória de cálculo'!H122+'Memória de cálculo'!H123</f>
        <v>85.144125000000003</v>
      </c>
      <c r="G35" s="19" t="s">
        <v>140</v>
      </c>
      <c r="H35" s="502"/>
      <c r="I35" s="502"/>
      <c r="J35" s="35">
        <f>ROUNDUP((I35+H35)*F35,2)</f>
        <v>0</v>
      </c>
      <c r="K35" s="7"/>
    </row>
    <row r="36" spans="2:11" ht="12" customHeight="1">
      <c r="B36" s="18" t="s">
        <v>65</v>
      </c>
      <c r="C36" s="19" t="s">
        <v>15</v>
      </c>
      <c r="D36" s="98">
        <v>50301</v>
      </c>
      <c r="E36" s="99" t="s">
        <v>206</v>
      </c>
      <c r="F36" s="100">
        <f>'Memória de cálculo'!H125</f>
        <v>45</v>
      </c>
      <c r="G36" s="19" t="s">
        <v>142</v>
      </c>
      <c r="H36" s="502"/>
      <c r="I36" s="502"/>
      <c r="J36" s="35">
        <f>ROUNDUP((I36+H36)*F36,2)</f>
        <v>0</v>
      </c>
      <c r="K36" s="7"/>
    </row>
    <row r="37" spans="2:11" ht="12" customHeight="1">
      <c r="B37" s="18" t="s">
        <v>66</v>
      </c>
      <c r="C37" s="19" t="s">
        <v>15</v>
      </c>
      <c r="D37" s="98">
        <v>51015</v>
      </c>
      <c r="E37" s="99" t="s">
        <v>144</v>
      </c>
      <c r="F37" s="392">
        <f>'Memória de cálculo'!H127</f>
        <v>13.5</v>
      </c>
      <c r="G37" s="19" t="s">
        <v>140</v>
      </c>
      <c r="H37" s="502"/>
      <c r="I37" s="502"/>
      <c r="J37" s="35">
        <f t="shared" ref="J37:J42" si="2">ROUNDUP((I37+H37)*F37,2)</f>
        <v>0</v>
      </c>
      <c r="K37" s="7"/>
    </row>
    <row r="38" spans="2:11" ht="12" customHeight="1">
      <c r="B38" s="18" t="s">
        <v>212</v>
      </c>
      <c r="C38" s="19" t="s">
        <v>15</v>
      </c>
      <c r="D38" s="98">
        <v>52003</v>
      </c>
      <c r="E38" s="99" t="s">
        <v>207</v>
      </c>
      <c r="F38" s="392">
        <f>'Memória de cálculo'!H129</f>
        <v>16.5</v>
      </c>
      <c r="G38" s="19" t="s">
        <v>208</v>
      </c>
      <c r="H38" s="502"/>
      <c r="I38" s="502"/>
      <c r="J38" s="35">
        <f t="shared" si="2"/>
        <v>0</v>
      </c>
      <c r="K38" s="7"/>
    </row>
    <row r="39" spans="2:11" ht="12" customHeight="1">
      <c r="B39" s="18" t="s">
        <v>213</v>
      </c>
      <c r="C39" s="19" t="s">
        <v>15</v>
      </c>
      <c r="D39" s="98">
        <v>52004</v>
      </c>
      <c r="E39" s="99" t="s">
        <v>209</v>
      </c>
      <c r="F39" s="392">
        <f>'Memória de cálculo'!H131</f>
        <v>46.65</v>
      </c>
      <c r="G39" s="19" t="s">
        <v>208</v>
      </c>
      <c r="H39" s="502"/>
      <c r="I39" s="502"/>
      <c r="J39" s="35">
        <f t="shared" si="2"/>
        <v>0</v>
      </c>
      <c r="K39" s="7"/>
    </row>
    <row r="40" spans="2:11" ht="12" customHeight="1">
      <c r="B40" s="18" t="s">
        <v>214</v>
      </c>
      <c r="C40" s="19" t="s">
        <v>15</v>
      </c>
      <c r="D40" s="98">
        <v>60103</v>
      </c>
      <c r="E40" s="99" t="s">
        <v>210</v>
      </c>
      <c r="F40" s="392">
        <f>'Memória de cálculo'!H133+'Memória de cálculo'!H134</f>
        <v>159.74250000000001</v>
      </c>
      <c r="G40" s="19" t="s">
        <v>137</v>
      </c>
      <c r="H40" s="502"/>
      <c r="I40" s="502"/>
      <c r="J40" s="35">
        <f t="shared" si="2"/>
        <v>0</v>
      </c>
      <c r="K40" s="7"/>
    </row>
    <row r="41" spans="2:11" ht="12" customHeight="1">
      <c r="B41" s="18" t="s">
        <v>215</v>
      </c>
      <c r="C41" s="19" t="s">
        <v>15</v>
      </c>
      <c r="D41" s="98">
        <v>60104</v>
      </c>
      <c r="E41" s="99" t="s">
        <v>141</v>
      </c>
      <c r="F41" s="392">
        <f>'Memória de cálculo'!H136</f>
        <v>60</v>
      </c>
      <c r="G41" s="19" t="s">
        <v>142</v>
      </c>
      <c r="H41" s="502"/>
      <c r="I41" s="502"/>
      <c r="J41" s="35">
        <f t="shared" si="2"/>
        <v>0</v>
      </c>
      <c r="K41" s="7"/>
    </row>
    <row r="42" spans="2:11" ht="12" customHeight="1">
      <c r="B42" s="18" t="s">
        <v>216</v>
      </c>
      <c r="C42" s="19" t="s">
        <v>15</v>
      </c>
      <c r="D42" s="98">
        <v>60203</v>
      </c>
      <c r="E42" s="99" t="s">
        <v>143</v>
      </c>
      <c r="F42" s="392">
        <f>'Memória de cálculo'!H139+'Memória de cálculo'!H140+'Memória de cálculo'!H138</f>
        <v>55.377499999999998</v>
      </c>
      <c r="G42" s="19" t="s">
        <v>137</v>
      </c>
      <c r="H42" s="502"/>
      <c r="I42" s="502"/>
      <c r="J42" s="35">
        <f t="shared" si="2"/>
        <v>0</v>
      </c>
      <c r="K42" s="7"/>
    </row>
    <row r="43" spans="2:11" ht="36">
      <c r="B43" s="18" t="s">
        <v>217</v>
      </c>
      <c r="C43" s="19" t="s">
        <v>15</v>
      </c>
      <c r="D43" s="98">
        <v>61101</v>
      </c>
      <c r="E43" s="99" t="s">
        <v>211</v>
      </c>
      <c r="F43" s="392">
        <f>'Memória de cálculo'!H143+'Memória de cálculo'!H144+'Memória de cálculo'!H142</f>
        <v>166.13249999999999</v>
      </c>
      <c r="G43" s="19" t="s">
        <v>137</v>
      </c>
      <c r="H43" s="502"/>
      <c r="I43" s="502"/>
      <c r="J43" s="35">
        <f>ROUNDUP((I43+H43)*F43,2)</f>
        <v>0</v>
      </c>
      <c r="K43" s="7"/>
    </row>
    <row r="44" spans="2:11" ht="15.95" customHeight="1" thickBot="1">
      <c r="B44" s="503" t="s">
        <v>14</v>
      </c>
      <c r="C44" s="504"/>
      <c r="D44" s="504"/>
      <c r="E44" s="504"/>
      <c r="F44" s="504"/>
      <c r="G44" s="504"/>
      <c r="H44" s="504"/>
      <c r="I44" s="505"/>
      <c r="J44" s="36">
        <f>SUM(J34:J43)</f>
        <v>0</v>
      </c>
      <c r="K44" s="20">
        <f>J44+(J44*I172)</f>
        <v>0</v>
      </c>
    </row>
    <row r="45" spans="2:11" ht="15.95" customHeight="1" thickBot="1">
      <c r="B45" s="506" t="s">
        <v>77</v>
      </c>
      <c r="C45" s="507"/>
      <c r="D45" s="507"/>
      <c r="E45" s="507"/>
      <c r="F45" s="507"/>
      <c r="G45" s="507"/>
      <c r="H45" s="507"/>
      <c r="I45" s="507"/>
      <c r="J45" s="508"/>
      <c r="K45" s="7"/>
    </row>
    <row r="46" spans="2:11">
      <c r="B46" s="18" t="s">
        <v>70</v>
      </c>
      <c r="C46" s="19" t="s">
        <v>15</v>
      </c>
      <c r="D46" s="98">
        <v>70555</v>
      </c>
      <c r="E46" s="117" t="s">
        <v>145</v>
      </c>
      <c r="F46" s="407">
        <f>'Memória de cálculo'!H147</f>
        <v>180</v>
      </c>
      <c r="G46" s="19" t="s">
        <v>142</v>
      </c>
      <c r="H46" s="500"/>
      <c r="I46" s="501"/>
      <c r="J46" s="104">
        <f>ROUNDUP((I46+H46)*F46,2)</f>
        <v>0</v>
      </c>
      <c r="K46" s="7"/>
    </row>
    <row r="47" spans="2:11">
      <c r="B47" s="18" t="s">
        <v>71</v>
      </c>
      <c r="C47" s="19" t="s">
        <v>15</v>
      </c>
      <c r="D47" s="98">
        <v>70563</v>
      </c>
      <c r="E47" s="117" t="s">
        <v>146</v>
      </c>
      <c r="F47" s="407">
        <f>'Memória de cálculo'!H149</f>
        <v>32</v>
      </c>
      <c r="G47" s="19" t="s">
        <v>142</v>
      </c>
      <c r="H47" s="500"/>
      <c r="I47" s="501"/>
      <c r="J47" s="104">
        <f>ROUNDUP((I47+H47)*F47,2)</f>
        <v>0</v>
      </c>
      <c r="K47" s="7"/>
    </row>
    <row r="48" spans="2:11">
      <c r="B48" s="18" t="s">
        <v>72</v>
      </c>
      <c r="C48" s="19" t="s">
        <v>15</v>
      </c>
      <c r="D48" s="98">
        <v>70691</v>
      </c>
      <c r="E48" s="99" t="s">
        <v>218</v>
      </c>
      <c r="F48" s="410">
        <f>'Memória de cálculo'!H151</f>
        <v>4</v>
      </c>
      <c r="G48" s="19" t="s">
        <v>147</v>
      </c>
      <c r="H48" s="500"/>
      <c r="I48" s="500"/>
      <c r="J48" s="104">
        <f t="shared" ref="J48:J64" si="3">ROUNDUP((I48+H48)*F48,2)</f>
        <v>0</v>
      </c>
      <c r="K48" s="7"/>
    </row>
    <row r="49" spans="2:11" ht="24">
      <c r="B49" s="18" t="s">
        <v>73</v>
      </c>
      <c r="C49" s="19" t="s">
        <v>15</v>
      </c>
      <c r="D49" s="98">
        <v>71043</v>
      </c>
      <c r="E49" s="99" t="s">
        <v>219</v>
      </c>
      <c r="F49" s="410">
        <f>'Memória de cálculo'!H153</f>
        <v>4</v>
      </c>
      <c r="G49" s="19" t="s">
        <v>147</v>
      </c>
      <c r="H49" s="500"/>
      <c r="I49" s="500"/>
      <c r="J49" s="104">
        <f t="shared" si="3"/>
        <v>0</v>
      </c>
      <c r="K49" s="7"/>
    </row>
    <row r="50" spans="2:11">
      <c r="B50" s="18" t="s">
        <v>78</v>
      </c>
      <c r="C50" s="19" t="s">
        <v>15</v>
      </c>
      <c r="D50" s="98">
        <v>71171</v>
      </c>
      <c r="E50" s="99" t="s">
        <v>220</v>
      </c>
      <c r="F50" s="410">
        <f>'Memória de cálculo'!H155</f>
        <v>2</v>
      </c>
      <c r="G50" s="19" t="s">
        <v>147</v>
      </c>
      <c r="H50" s="500"/>
      <c r="I50" s="500"/>
      <c r="J50" s="104">
        <f t="shared" si="3"/>
        <v>0</v>
      </c>
      <c r="K50" s="7"/>
    </row>
    <row r="51" spans="2:11" ht="24">
      <c r="B51" s="18" t="s">
        <v>79</v>
      </c>
      <c r="C51" s="19" t="s">
        <v>15</v>
      </c>
      <c r="D51" s="98">
        <v>71194</v>
      </c>
      <c r="E51" s="99" t="s">
        <v>221</v>
      </c>
      <c r="F51" s="407">
        <f>'Memória de cálculo'!H157</f>
        <v>210</v>
      </c>
      <c r="G51" s="19" t="s">
        <v>142</v>
      </c>
      <c r="H51" s="500"/>
      <c r="I51" s="500"/>
      <c r="J51" s="104">
        <f t="shared" si="3"/>
        <v>0</v>
      </c>
      <c r="K51" s="7"/>
    </row>
    <row r="52" spans="2:11">
      <c r="B52" s="18" t="s">
        <v>80</v>
      </c>
      <c r="C52" s="19" t="s">
        <v>15</v>
      </c>
      <c r="D52" s="98">
        <v>71290</v>
      </c>
      <c r="E52" s="99" t="s">
        <v>148</v>
      </c>
      <c r="F52" s="407">
        <f>'Memória de cálculo'!H159</f>
        <v>30</v>
      </c>
      <c r="G52" s="19" t="s">
        <v>142</v>
      </c>
      <c r="H52" s="500"/>
      <c r="I52" s="500"/>
      <c r="J52" s="104">
        <f t="shared" si="3"/>
        <v>0</v>
      </c>
      <c r="K52" s="7"/>
    </row>
    <row r="53" spans="2:11">
      <c r="B53" s="18" t="s">
        <v>81</v>
      </c>
      <c r="C53" s="19" t="s">
        <v>15</v>
      </c>
      <c r="D53" s="98">
        <v>71331</v>
      </c>
      <c r="E53" s="99" t="s">
        <v>149</v>
      </c>
      <c r="F53" s="410">
        <f>'Memória de cálculo'!H161</f>
        <v>5</v>
      </c>
      <c r="G53" s="19" t="s">
        <v>147</v>
      </c>
      <c r="H53" s="500"/>
      <c r="I53" s="500"/>
      <c r="J53" s="104">
        <f t="shared" si="3"/>
        <v>0</v>
      </c>
      <c r="K53" s="7"/>
    </row>
    <row r="54" spans="2:11">
      <c r="B54" s="18" t="s">
        <v>82</v>
      </c>
      <c r="C54" s="19" t="s">
        <v>15</v>
      </c>
      <c r="D54" s="98">
        <v>71440</v>
      </c>
      <c r="E54" s="99" t="s">
        <v>222</v>
      </c>
      <c r="F54" s="410">
        <f>'Memória de cálculo'!H163</f>
        <v>18</v>
      </c>
      <c r="G54" s="19" t="s">
        <v>147</v>
      </c>
      <c r="H54" s="500"/>
      <c r="I54" s="500"/>
      <c r="J54" s="104">
        <f t="shared" si="3"/>
        <v>0</v>
      </c>
      <c r="K54" s="7"/>
    </row>
    <row r="55" spans="2:11">
      <c r="B55" s="18" t="s">
        <v>83</v>
      </c>
      <c r="C55" s="19" t="s">
        <v>15</v>
      </c>
      <c r="D55" s="98">
        <v>71526</v>
      </c>
      <c r="E55" s="99" t="s">
        <v>226</v>
      </c>
      <c r="F55" s="410">
        <f>'Memória de cálculo'!H165</f>
        <v>2</v>
      </c>
      <c r="G55" s="19" t="s">
        <v>147</v>
      </c>
      <c r="H55" s="500"/>
      <c r="I55" s="500"/>
      <c r="J55" s="104">
        <f t="shared" si="3"/>
        <v>0</v>
      </c>
      <c r="K55" s="7"/>
    </row>
    <row r="56" spans="2:11">
      <c r="B56" s="18" t="s">
        <v>84</v>
      </c>
      <c r="C56" s="19" t="s">
        <v>15</v>
      </c>
      <c r="D56" s="98">
        <v>71534</v>
      </c>
      <c r="E56" s="99" t="s">
        <v>223</v>
      </c>
      <c r="F56" s="410">
        <f>'Memória de cálculo'!H167</f>
        <v>38</v>
      </c>
      <c r="G56" s="19" t="s">
        <v>147</v>
      </c>
      <c r="H56" s="500"/>
      <c r="I56" s="500"/>
      <c r="J56" s="104">
        <f t="shared" si="3"/>
        <v>0</v>
      </c>
      <c r="K56" s="7"/>
    </row>
    <row r="57" spans="2:11">
      <c r="B57" s="18" t="s">
        <v>85</v>
      </c>
      <c r="C57" s="19" t="s">
        <v>15</v>
      </c>
      <c r="D57" s="98">
        <v>71567</v>
      </c>
      <c r="E57" s="99" t="s">
        <v>172</v>
      </c>
      <c r="F57" s="410">
        <f>'Memória de cálculo'!H169</f>
        <v>4</v>
      </c>
      <c r="G57" s="19" t="s">
        <v>147</v>
      </c>
      <c r="H57" s="500"/>
      <c r="I57" s="500"/>
      <c r="J57" s="104">
        <f t="shared" si="3"/>
        <v>0</v>
      </c>
      <c r="K57" s="7"/>
    </row>
    <row r="58" spans="2:11" ht="24">
      <c r="B58" s="18" t="s">
        <v>86</v>
      </c>
      <c r="C58" s="19" t="s">
        <v>15</v>
      </c>
      <c r="D58" s="98">
        <v>71612</v>
      </c>
      <c r="E58" s="99" t="s">
        <v>224</v>
      </c>
      <c r="F58" s="410">
        <f>'Memória de cálculo'!H171</f>
        <v>4</v>
      </c>
      <c r="G58" s="19" t="s">
        <v>147</v>
      </c>
      <c r="H58" s="500"/>
      <c r="I58" s="500"/>
      <c r="J58" s="104">
        <f t="shared" si="3"/>
        <v>0</v>
      </c>
      <c r="K58" s="7"/>
    </row>
    <row r="59" spans="2:11" ht="24">
      <c r="B59" s="18" t="s">
        <v>231</v>
      </c>
      <c r="C59" s="19" t="s">
        <v>15</v>
      </c>
      <c r="D59" s="98">
        <v>71619</v>
      </c>
      <c r="E59" s="99" t="s">
        <v>225</v>
      </c>
      <c r="F59" s="410">
        <f>'Memória de cálculo'!H173</f>
        <v>19</v>
      </c>
      <c r="G59" s="19" t="s">
        <v>147</v>
      </c>
      <c r="H59" s="500"/>
      <c r="I59" s="500"/>
      <c r="J59" s="104">
        <f t="shared" si="3"/>
        <v>0</v>
      </c>
      <c r="K59" s="7"/>
    </row>
    <row r="60" spans="2:11">
      <c r="B60" s="18" t="s">
        <v>232</v>
      </c>
      <c r="C60" s="19" t="s">
        <v>15</v>
      </c>
      <c r="D60" s="98">
        <v>71684</v>
      </c>
      <c r="E60" s="99" t="s">
        <v>150</v>
      </c>
      <c r="F60" s="410">
        <f>'Memória de cálculo'!H175</f>
        <v>2</v>
      </c>
      <c r="G60" s="19" t="s">
        <v>147</v>
      </c>
      <c r="H60" s="500"/>
      <c r="I60" s="500"/>
      <c r="J60" s="104">
        <f t="shared" si="3"/>
        <v>0</v>
      </c>
      <c r="K60" s="7"/>
    </row>
    <row r="61" spans="2:11">
      <c r="B61" s="18" t="s">
        <v>233</v>
      </c>
      <c r="C61" s="19" t="s">
        <v>15</v>
      </c>
      <c r="D61" s="98">
        <v>72170</v>
      </c>
      <c r="E61" s="99" t="s">
        <v>227</v>
      </c>
      <c r="F61" s="410">
        <f>'Memória de cálculo'!H177</f>
        <v>1</v>
      </c>
      <c r="G61" s="19" t="s">
        <v>147</v>
      </c>
      <c r="H61" s="500"/>
      <c r="I61" s="500"/>
      <c r="J61" s="104">
        <f t="shared" si="3"/>
        <v>0</v>
      </c>
      <c r="K61" s="7"/>
    </row>
    <row r="62" spans="2:11">
      <c r="B62" s="18" t="s">
        <v>234</v>
      </c>
      <c r="C62" s="19" t="s">
        <v>15</v>
      </c>
      <c r="D62" s="98">
        <v>72237</v>
      </c>
      <c r="E62" s="99" t="s">
        <v>228</v>
      </c>
      <c r="F62" s="410">
        <f>'Memória de cálculo'!H179</f>
        <v>2</v>
      </c>
      <c r="G62" s="19" t="s">
        <v>147</v>
      </c>
      <c r="H62" s="500"/>
      <c r="I62" s="500"/>
      <c r="J62" s="104">
        <f t="shared" si="3"/>
        <v>0</v>
      </c>
      <c r="K62" s="7"/>
    </row>
    <row r="63" spans="2:11">
      <c r="B63" s="18" t="s">
        <v>235</v>
      </c>
      <c r="C63" s="19" t="s">
        <v>15</v>
      </c>
      <c r="D63" s="98">
        <v>72320</v>
      </c>
      <c r="E63" s="99" t="s">
        <v>151</v>
      </c>
      <c r="F63" s="410">
        <f>'Memória de cálculo'!H181</f>
        <v>1</v>
      </c>
      <c r="G63" s="19" t="s">
        <v>147</v>
      </c>
      <c r="H63" s="500"/>
      <c r="I63" s="500"/>
      <c r="J63" s="104">
        <f t="shared" si="3"/>
        <v>0</v>
      </c>
      <c r="K63" s="7"/>
    </row>
    <row r="64" spans="2:11">
      <c r="B64" s="18" t="s">
        <v>236</v>
      </c>
      <c r="C64" s="19" t="s">
        <v>15</v>
      </c>
      <c r="D64" s="98">
        <v>72578</v>
      </c>
      <c r="E64" s="99" t="s">
        <v>229</v>
      </c>
      <c r="F64" s="410">
        <f>'Memória de cálculo'!H183</f>
        <v>29</v>
      </c>
      <c r="G64" s="19" t="s">
        <v>147</v>
      </c>
      <c r="H64" s="500"/>
      <c r="I64" s="500"/>
      <c r="J64" s="104">
        <f t="shared" si="3"/>
        <v>0</v>
      </c>
      <c r="K64" s="7"/>
    </row>
    <row r="65" spans="2:14">
      <c r="B65" s="18" t="s">
        <v>237</v>
      </c>
      <c r="C65" s="19" t="s">
        <v>15</v>
      </c>
      <c r="D65" s="98">
        <v>72585</v>
      </c>
      <c r="E65" s="99" t="s">
        <v>230</v>
      </c>
      <c r="F65" s="410">
        <f>'Memória de cálculo'!H185</f>
        <v>20</v>
      </c>
      <c r="G65" s="19" t="s">
        <v>147</v>
      </c>
      <c r="H65" s="500"/>
      <c r="I65" s="500"/>
      <c r="J65" s="104">
        <f>ROUNDUP((I65+H65)*F65,2)</f>
        <v>0</v>
      </c>
      <c r="K65" s="7"/>
    </row>
    <row r="66" spans="2:14" ht="15.95" customHeight="1" thickBot="1">
      <c r="B66" s="503" t="s">
        <v>14</v>
      </c>
      <c r="C66" s="504"/>
      <c r="D66" s="504"/>
      <c r="E66" s="504"/>
      <c r="F66" s="504"/>
      <c r="G66" s="504"/>
      <c r="H66" s="504"/>
      <c r="I66" s="505"/>
      <c r="J66" s="36">
        <f>SUM(J46:J65)</f>
        <v>0</v>
      </c>
      <c r="K66" s="20">
        <f>J66+(J66*I172)</f>
        <v>0</v>
      </c>
      <c r="L66" s="37"/>
      <c r="M66" s="37"/>
      <c r="N66" s="37"/>
    </row>
    <row r="67" spans="2:14" ht="15.95" customHeight="1" thickBot="1">
      <c r="B67" s="506" t="s">
        <v>103</v>
      </c>
      <c r="C67" s="507"/>
      <c r="D67" s="507"/>
      <c r="E67" s="507"/>
      <c r="F67" s="507"/>
      <c r="G67" s="507"/>
      <c r="H67" s="507"/>
      <c r="I67" s="507"/>
      <c r="J67" s="508"/>
      <c r="K67" s="7"/>
    </row>
    <row r="68" spans="2:14">
      <c r="B68" s="18" t="s">
        <v>87</v>
      </c>
      <c r="C68" s="19" t="s">
        <v>15</v>
      </c>
      <c r="D68" s="98">
        <v>80502</v>
      </c>
      <c r="E68" s="117" t="s">
        <v>238</v>
      </c>
      <c r="F68" s="410">
        <f>'Memória de cálculo'!H188</f>
        <v>14</v>
      </c>
      <c r="G68" s="19" t="s">
        <v>147</v>
      </c>
      <c r="H68" s="500"/>
      <c r="I68" s="501"/>
      <c r="J68" s="104">
        <f>ROUNDUP((I68+H68)*F68,2)</f>
        <v>0</v>
      </c>
      <c r="K68" s="7"/>
    </row>
    <row r="69" spans="2:14">
      <c r="B69" s="18" t="s">
        <v>88</v>
      </c>
      <c r="C69" s="19" t="s">
        <v>15</v>
      </c>
      <c r="D69" s="98">
        <v>80510</v>
      </c>
      <c r="E69" s="117" t="s">
        <v>239</v>
      </c>
      <c r="F69" s="410">
        <f>'Memória de cálculo'!H190</f>
        <v>14</v>
      </c>
      <c r="G69" s="19" t="s">
        <v>147</v>
      </c>
      <c r="H69" s="500"/>
      <c r="I69" s="501"/>
      <c r="J69" s="104">
        <f>ROUNDUP((I69+H69)*F69,2)</f>
        <v>0</v>
      </c>
      <c r="K69" s="7"/>
    </row>
    <row r="70" spans="2:14">
      <c r="B70" s="18" t="s">
        <v>89</v>
      </c>
      <c r="C70" s="19" t="s">
        <v>15</v>
      </c>
      <c r="D70" s="98">
        <v>80513</v>
      </c>
      <c r="E70" s="99" t="s">
        <v>240</v>
      </c>
      <c r="F70" s="414">
        <f>'Memória de cálculo'!H192</f>
        <v>14</v>
      </c>
      <c r="G70" s="19" t="s">
        <v>147</v>
      </c>
      <c r="H70" s="500"/>
      <c r="I70" s="500"/>
      <c r="J70" s="104">
        <f t="shared" ref="J70:J106" si="4">ROUNDUP((I70+H70)*F70,2)</f>
        <v>0</v>
      </c>
      <c r="K70" s="7"/>
    </row>
    <row r="71" spans="2:14" ht="24">
      <c r="B71" s="18" t="s">
        <v>90</v>
      </c>
      <c r="C71" s="19" t="s">
        <v>15</v>
      </c>
      <c r="D71" s="98">
        <v>80518</v>
      </c>
      <c r="E71" s="99" t="s">
        <v>241</v>
      </c>
      <c r="F71" s="414">
        <f>'Memória de cálculo'!H194</f>
        <v>14</v>
      </c>
      <c r="G71" s="19" t="s">
        <v>147</v>
      </c>
      <c r="H71" s="500"/>
      <c r="I71" s="500"/>
      <c r="J71" s="104">
        <f t="shared" si="4"/>
        <v>0</v>
      </c>
      <c r="K71" s="7"/>
    </row>
    <row r="72" spans="2:14">
      <c r="B72" s="18" t="s">
        <v>91</v>
      </c>
      <c r="C72" s="19" t="s">
        <v>15</v>
      </c>
      <c r="D72" s="98">
        <v>80520</v>
      </c>
      <c r="E72" s="99" t="s">
        <v>242</v>
      </c>
      <c r="F72" s="415">
        <f>'Memória de cálculo'!H196</f>
        <v>14</v>
      </c>
      <c r="G72" s="19" t="s">
        <v>243</v>
      </c>
      <c r="H72" s="500"/>
      <c r="I72" s="500"/>
      <c r="J72" s="104">
        <f t="shared" si="4"/>
        <v>0</v>
      </c>
      <c r="K72" s="7"/>
    </row>
    <row r="73" spans="2:14">
      <c r="B73" s="18" t="s">
        <v>92</v>
      </c>
      <c r="C73" s="19" t="s">
        <v>15</v>
      </c>
      <c r="D73" s="98">
        <v>80532</v>
      </c>
      <c r="E73" s="99" t="s">
        <v>248</v>
      </c>
      <c r="F73" s="410">
        <f>'Memória de cálculo'!H198</f>
        <v>14</v>
      </c>
      <c r="G73" s="19" t="s">
        <v>147</v>
      </c>
      <c r="H73" s="500"/>
      <c r="I73" s="500"/>
      <c r="J73" s="104">
        <f>ROUNDUP((I73+H73)*F73,2)</f>
        <v>0</v>
      </c>
      <c r="K73" s="7"/>
    </row>
    <row r="74" spans="2:14">
      <c r="B74" s="18" t="s">
        <v>93</v>
      </c>
      <c r="C74" s="19" t="s">
        <v>15</v>
      </c>
      <c r="D74" s="98">
        <v>80556</v>
      </c>
      <c r="E74" s="99" t="s">
        <v>152</v>
      </c>
      <c r="F74" s="410">
        <f>'Memória de cálculo'!H200</f>
        <v>16</v>
      </c>
      <c r="G74" s="19" t="s">
        <v>147</v>
      </c>
      <c r="H74" s="500"/>
      <c r="I74" s="500"/>
      <c r="J74" s="104">
        <f t="shared" si="4"/>
        <v>0</v>
      </c>
      <c r="K74" s="7"/>
    </row>
    <row r="75" spans="2:14">
      <c r="B75" s="18" t="s">
        <v>94</v>
      </c>
      <c r="C75" s="19" t="s">
        <v>15</v>
      </c>
      <c r="D75" s="98">
        <v>80562</v>
      </c>
      <c r="E75" s="99" t="s">
        <v>153</v>
      </c>
      <c r="F75" s="410">
        <f>'Memória de cálculo'!H202</f>
        <v>15</v>
      </c>
      <c r="G75" s="19" t="s">
        <v>147</v>
      </c>
      <c r="H75" s="500"/>
      <c r="I75" s="500"/>
      <c r="J75" s="104">
        <f t="shared" si="4"/>
        <v>0</v>
      </c>
      <c r="K75" s="7"/>
    </row>
    <row r="76" spans="2:14" ht="24">
      <c r="B76" s="18" t="s">
        <v>95</v>
      </c>
      <c r="C76" s="19" t="s">
        <v>15</v>
      </c>
      <c r="D76" s="98">
        <v>80572</v>
      </c>
      <c r="E76" s="99" t="s">
        <v>244</v>
      </c>
      <c r="F76" s="410">
        <f>'Memória de cálculo'!H204</f>
        <v>15</v>
      </c>
      <c r="G76" s="19" t="s">
        <v>147</v>
      </c>
      <c r="H76" s="500"/>
      <c r="I76" s="500"/>
      <c r="J76" s="104">
        <f t="shared" si="4"/>
        <v>0</v>
      </c>
      <c r="K76" s="7"/>
    </row>
    <row r="77" spans="2:14">
      <c r="B77" s="18" t="s">
        <v>96</v>
      </c>
      <c r="C77" s="19" t="s">
        <v>15</v>
      </c>
      <c r="D77" s="98">
        <v>80590</v>
      </c>
      <c r="E77" s="99" t="s">
        <v>245</v>
      </c>
      <c r="F77" s="410">
        <f>'Memória de cálculo'!H206</f>
        <v>15</v>
      </c>
      <c r="G77" s="19" t="s">
        <v>147</v>
      </c>
      <c r="H77" s="500"/>
      <c r="I77" s="500"/>
      <c r="J77" s="104">
        <f t="shared" si="4"/>
        <v>0</v>
      </c>
      <c r="K77" s="7"/>
    </row>
    <row r="78" spans="2:14">
      <c r="B78" s="18" t="s">
        <v>97</v>
      </c>
      <c r="C78" s="19" t="s">
        <v>15</v>
      </c>
      <c r="D78" s="98">
        <v>80651</v>
      </c>
      <c r="E78" s="99" t="s">
        <v>431</v>
      </c>
      <c r="F78" s="410">
        <f>'Memória de cálculo'!H208</f>
        <v>11</v>
      </c>
      <c r="G78" s="19" t="s">
        <v>147</v>
      </c>
      <c r="H78" s="500"/>
      <c r="I78" s="500"/>
      <c r="J78" s="104">
        <f t="shared" si="4"/>
        <v>0</v>
      </c>
      <c r="K78" s="7"/>
    </row>
    <row r="79" spans="2:14">
      <c r="B79" s="18" t="s">
        <v>98</v>
      </c>
      <c r="C79" s="19" t="s">
        <v>15</v>
      </c>
      <c r="D79" s="98">
        <v>80652</v>
      </c>
      <c r="E79" s="99" t="s">
        <v>246</v>
      </c>
      <c r="F79" s="410">
        <f>'Memória de cálculo'!H210</f>
        <v>2</v>
      </c>
      <c r="G79" s="19" t="s">
        <v>147</v>
      </c>
      <c r="H79" s="500"/>
      <c r="I79" s="500"/>
      <c r="J79" s="104">
        <f t="shared" si="4"/>
        <v>0</v>
      </c>
      <c r="K79" s="7"/>
    </row>
    <row r="80" spans="2:14">
      <c r="B80" s="18" t="s">
        <v>99</v>
      </c>
      <c r="C80" s="19" t="s">
        <v>15</v>
      </c>
      <c r="D80" s="98">
        <v>80721</v>
      </c>
      <c r="E80" s="99" t="s">
        <v>247</v>
      </c>
      <c r="F80" s="410">
        <f>'Memória de cálculo'!H212</f>
        <v>8</v>
      </c>
      <c r="G80" s="19" t="s">
        <v>147</v>
      </c>
      <c r="H80" s="500"/>
      <c r="I80" s="500"/>
      <c r="J80" s="104">
        <f t="shared" si="4"/>
        <v>0</v>
      </c>
      <c r="K80" s="7"/>
    </row>
    <row r="81" spans="2:11">
      <c r="B81" s="18" t="s">
        <v>100</v>
      </c>
      <c r="C81" s="19" t="s">
        <v>15</v>
      </c>
      <c r="D81" s="98">
        <v>80732</v>
      </c>
      <c r="E81" s="99" t="s">
        <v>249</v>
      </c>
      <c r="F81" s="410">
        <f>'Memória de cálculo'!H214</f>
        <v>14</v>
      </c>
      <c r="G81" s="19" t="s">
        <v>147</v>
      </c>
      <c r="H81" s="500"/>
      <c r="I81" s="500"/>
      <c r="J81" s="104">
        <f t="shared" si="4"/>
        <v>0</v>
      </c>
      <c r="K81" s="7"/>
    </row>
    <row r="82" spans="2:11">
      <c r="B82" s="18" t="s">
        <v>101</v>
      </c>
      <c r="C82" s="19" t="s">
        <v>15</v>
      </c>
      <c r="D82" s="98">
        <v>80741</v>
      </c>
      <c r="E82" s="99" t="s">
        <v>250</v>
      </c>
      <c r="F82" s="410">
        <f>'Memória de cálculo'!H216</f>
        <v>15</v>
      </c>
      <c r="G82" s="19" t="s">
        <v>147</v>
      </c>
      <c r="H82" s="500"/>
      <c r="I82" s="500"/>
      <c r="J82" s="104">
        <f t="shared" si="4"/>
        <v>0</v>
      </c>
      <c r="K82" s="7"/>
    </row>
    <row r="83" spans="2:11">
      <c r="B83" s="18" t="s">
        <v>102</v>
      </c>
      <c r="C83" s="19" t="s">
        <v>15</v>
      </c>
      <c r="D83" s="98">
        <v>80901</v>
      </c>
      <c r="E83" s="99" t="s">
        <v>251</v>
      </c>
      <c r="F83" s="410">
        <f>'Memória de cálculo'!H218</f>
        <v>12</v>
      </c>
      <c r="G83" s="19" t="s">
        <v>147</v>
      </c>
      <c r="H83" s="500"/>
      <c r="I83" s="500"/>
      <c r="J83" s="104">
        <f t="shared" si="4"/>
        <v>0</v>
      </c>
      <c r="K83" s="7"/>
    </row>
    <row r="84" spans="2:11">
      <c r="B84" s="18" t="s">
        <v>270</v>
      </c>
      <c r="C84" s="19" t="s">
        <v>15</v>
      </c>
      <c r="D84" s="98">
        <v>81003</v>
      </c>
      <c r="E84" s="99" t="s">
        <v>154</v>
      </c>
      <c r="F84" s="407">
        <f>'Memória de cálculo'!H220</f>
        <v>310</v>
      </c>
      <c r="G84" s="19" t="s">
        <v>142</v>
      </c>
      <c r="H84" s="500"/>
      <c r="I84" s="500"/>
      <c r="J84" s="104">
        <f t="shared" si="4"/>
        <v>0</v>
      </c>
      <c r="K84" s="7"/>
    </row>
    <row r="85" spans="2:11">
      <c r="B85" s="18" t="s">
        <v>271</v>
      </c>
      <c r="C85" s="19" t="s">
        <v>15</v>
      </c>
      <c r="D85" s="98">
        <v>81055</v>
      </c>
      <c r="E85" s="99" t="s">
        <v>252</v>
      </c>
      <c r="F85" s="410">
        <f>'Memória de cálculo'!H222</f>
        <v>8</v>
      </c>
      <c r="G85" s="19" t="s">
        <v>147</v>
      </c>
      <c r="H85" s="500"/>
      <c r="I85" s="500"/>
      <c r="J85" s="104">
        <f t="shared" si="4"/>
        <v>0</v>
      </c>
      <c r="K85" s="7"/>
    </row>
    <row r="86" spans="2:11">
      <c r="B86" s="18" t="s">
        <v>272</v>
      </c>
      <c r="C86" s="19" t="s">
        <v>15</v>
      </c>
      <c r="D86" s="98">
        <v>81102</v>
      </c>
      <c r="E86" s="99" t="s">
        <v>155</v>
      </c>
      <c r="F86" s="410">
        <f>'Memória de cálculo'!H224</f>
        <v>5</v>
      </c>
      <c r="G86" s="19" t="s">
        <v>147</v>
      </c>
      <c r="H86" s="500"/>
      <c r="I86" s="500"/>
      <c r="J86" s="104">
        <f t="shared" si="4"/>
        <v>0</v>
      </c>
      <c r="K86" s="7"/>
    </row>
    <row r="87" spans="2:11">
      <c r="B87" s="18" t="s">
        <v>273</v>
      </c>
      <c r="C87" s="19" t="s">
        <v>15</v>
      </c>
      <c r="D87" s="98">
        <v>81131</v>
      </c>
      <c r="E87" s="99" t="s">
        <v>253</v>
      </c>
      <c r="F87" s="410">
        <f>'Memória de cálculo'!H226</f>
        <v>6</v>
      </c>
      <c r="G87" s="19" t="s">
        <v>147</v>
      </c>
      <c r="H87" s="500"/>
      <c r="I87" s="500"/>
      <c r="J87" s="104">
        <f t="shared" si="4"/>
        <v>0</v>
      </c>
      <c r="K87" s="7"/>
    </row>
    <row r="88" spans="2:11">
      <c r="B88" s="18" t="s">
        <v>274</v>
      </c>
      <c r="C88" s="19" t="s">
        <v>15</v>
      </c>
      <c r="D88" s="98">
        <v>81302</v>
      </c>
      <c r="E88" s="99" t="s">
        <v>156</v>
      </c>
      <c r="F88" s="410">
        <f>'Memória de cálculo'!H228</f>
        <v>7</v>
      </c>
      <c r="G88" s="19" t="s">
        <v>147</v>
      </c>
      <c r="H88" s="500"/>
      <c r="I88" s="500"/>
      <c r="J88" s="104">
        <f t="shared" si="4"/>
        <v>0</v>
      </c>
      <c r="K88" s="7"/>
    </row>
    <row r="89" spans="2:11">
      <c r="B89" s="18" t="s">
        <v>275</v>
      </c>
      <c r="C89" s="19" t="s">
        <v>15</v>
      </c>
      <c r="D89" s="98">
        <v>81402</v>
      </c>
      <c r="E89" s="99" t="s">
        <v>157</v>
      </c>
      <c r="F89" s="410">
        <f>'Memória de cálculo'!H230</f>
        <v>8</v>
      </c>
      <c r="G89" s="19" t="s">
        <v>147</v>
      </c>
      <c r="H89" s="500"/>
      <c r="I89" s="500"/>
      <c r="J89" s="104">
        <f t="shared" si="4"/>
        <v>0</v>
      </c>
      <c r="K89" s="7"/>
    </row>
    <row r="90" spans="2:11">
      <c r="B90" s="18" t="s">
        <v>276</v>
      </c>
      <c r="C90" s="19" t="s">
        <v>15</v>
      </c>
      <c r="D90" s="98">
        <v>81501</v>
      </c>
      <c r="E90" s="99" t="s">
        <v>158</v>
      </c>
      <c r="F90" s="410">
        <f>'Memória de cálculo'!H232</f>
        <v>3</v>
      </c>
      <c r="G90" s="19" t="s">
        <v>147</v>
      </c>
      <c r="H90" s="500"/>
      <c r="I90" s="500"/>
      <c r="J90" s="104">
        <f t="shared" si="4"/>
        <v>0</v>
      </c>
      <c r="K90" s="7"/>
    </row>
    <row r="91" spans="2:11">
      <c r="B91" s="18" t="s">
        <v>277</v>
      </c>
      <c r="C91" s="19" t="s">
        <v>15</v>
      </c>
      <c r="D91" s="98">
        <v>81504</v>
      </c>
      <c r="E91" s="99" t="s">
        <v>159</v>
      </c>
      <c r="F91" s="410">
        <f>'Memória de cálculo'!H234</f>
        <v>3</v>
      </c>
      <c r="G91" s="19" t="s">
        <v>147</v>
      </c>
      <c r="H91" s="500"/>
      <c r="I91" s="500"/>
      <c r="J91" s="104">
        <f t="shared" si="4"/>
        <v>0</v>
      </c>
      <c r="K91" s="7"/>
    </row>
    <row r="92" spans="2:11">
      <c r="B92" s="18" t="s">
        <v>278</v>
      </c>
      <c r="C92" s="19" t="s">
        <v>15</v>
      </c>
      <c r="D92" s="98">
        <v>81691</v>
      </c>
      <c r="E92" s="99" t="s">
        <v>254</v>
      </c>
      <c r="F92" s="410">
        <f>'Memória de cálculo'!H236</f>
        <v>16</v>
      </c>
      <c r="G92" s="19" t="s">
        <v>147</v>
      </c>
      <c r="H92" s="500"/>
      <c r="I92" s="500"/>
      <c r="J92" s="104">
        <f t="shared" si="4"/>
        <v>0</v>
      </c>
      <c r="K92" s="7"/>
    </row>
    <row r="93" spans="2:11">
      <c r="B93" s="18" t="s">
        <v>279</v>
      </c>
      <c r="C93" s="19" t="s">
        <v>15</v>
      </c>
      <c r="D93" s="98">
        <v>81770</v>
      </c>
      <c r="E93" s="99" t="s">
        <v>255</v>
      </c>
      <c r="F93" s="410">
        <f>'Memória de cálculo'!H238</f>
        <v>16</v>
      </c>
      <c r="G93" s="19" t="s">
        <v>147</v>
      </c>
      <c r="H93" s="500"/>
      <c r="I93" s="500"/>
      <c r="J93" s="104">
        <f t="shared" si="4"/>
        <v>0</v>
      </c>
      <c r="K93" s="7"/>
    </row>
    <row r="94" spans="2:11">
      <c r="B94" s="18" t="s">
        <v>280</v>
      </c>
      <c r="C94" s="19" t="s">
        <v>15</v>
      </c>
      <c r="D94" s="98">
        <v>81825</v>
      </c>
      <c r="E94" s="99" t="s">
        <v>256</v>
      </c>
      <c r="F94" s="410">
        <f>'Memória de cálculo'!H240</f>
        <v>2</v>
      </c>
      <c r="G94" s="19" t="s">
        <v>147</v>
      </c>
      <c r="H94" s="500"/>
      <c r="I94" s="500"/>
      <c r="J94" s="104">
        <f t="shared" si="4"/>
        <v>0</v>
      </c>
      <c r="K94" s="7"/>
    </row>
    <row r="95" spans="2:11" ht="24">
      <c r="B95" s="18" t="s">
        <v>281</v>
      </c>
      <c r="C95" s="19" t="s">
        <v>15</v>
      </c>
      <c r="D95" s="98">
        <v>81826</v>
      </c>
      <c r="E95" s="99" t="s">
        <v>257</v>
      </c>
      <c r="F95" s="410">
        <f>'Memória de cálculo'!H242</f>
        <v>2</v>
      </c>
      <c r="G95" s="19" t="s">
        <v>147</v>
      </c>
      <c r="H95" s="500"/>
      <c r="I95" s="500"/>
      <c r="J95" s="104">
        <f t="shared" si="4"/>
        <v>0</v>
      </c>
      <c r="K95" s="7"/>
    </row>
    <row r="96" spans="2:11">
      <c r="B96" s="18" t="s">
        <v>282</v>
      </c>
      <c r="C96" s="19" t="s">
        <v>15</v>
      </c>
      <c r="D96" s="98">
        <v>81860</v>
      </c>
      <c r="E96" s="99" t="s">
        <v>258</v>
      </c>
      <c r="F96" s="410">
        <f>'Memória de cálculo'!H244</f>
        <v>3</v>
      </c>
      <c r="G96" s="19" t="s">
        <v>147</v>
      </c>
      <c r="H96" s="500"/>
      <c r="I96" s="500"/>
      <c r="J96" s="104">
        <f t="shared" si="4"/>
        <v>0</v>
      </c>
      <c r="K96" s="7"/>
    </row>
    <row r="97" spans="2:14">
      <c r="B97" s="18" t="s">
        <v>283</v>
      </c>
      <c r="C97" s="19" t="s">
        <v>15</v>
      </c>
      <c r="D97" s="98">
        <v>81885</v>
      </c>
      <c r="E97" s="99" t="s">
        <v>259</v>
      </c>
      <c r="F97" s="410">
        <f>'Memória de cálculo'!H246</f>
        <v>3</v>
      </c>
      <c r="G97" s="19" t="s">
        <v>147</v>
      </c>
      <c r="H97" s="500"/>
      <c r="I97" s="500"/>
      <c r="J97" s="104">
        <f t="shared" si="4"/>
        <v>0</v>
      </c>
      <c r="K97" s="7"/>
    </row>
    <row r="98" spans="2:14">
      <c r="B98" s="18" t="s">
        <v>284</v>
      </c>
      <c r="C98" s="19" t="s">
        <v>15</v>
      </c>
      <c r="D98" s="98">
        <v>81889</v>
      </c>
      <c r="E98" s="99" t="s">
        <v>260</v>
      </c>
      <c r="F98" s="410">
        <f>'Memória de cálculo'!H248</f>
        <v>3</v>
      </c>
      <c r="G98" s="19" t="s">
        <v>147</v>
      </c>
      <c r="H98" s="500"/>
      <c r="I98" s="500"/>
      <c r="J98" s="104">
        <f t="shared" si="4"/>
        <v>0</v>
      </c>
      <c r="K98" s="7"/>
    </row>
    <row r="99" spans="2:14">
      <c r="B99" s="18" t="s">
        <v>285</v>
      </c>
      <c r="C99" s="19" t="s">
        <v>15</v>
      </c>
      <c r="D99" s="98">
        <v>82230</v>
      </c>
      <c r="E99" s="99" t="s">
        <v>262</v>
      </c>
      <c r="F99" s="410">
        <f>'Memória de cálculo'!H250</f>
        <v>8</v>
      </c>
      <c r="G99" s="19" t="s">
        <v>147</v>
      </c>
      <c r="H99" s="500"/>
      <c r="I99" s="500"/>
      <c r="J99" s="104">
        <f t="shared" si="4"/>
        <v>0</v>
      </c>
      <c r="K99" s="7"/>
    </row>
    <row r="100" spans="2:14">
      <c r="B100" s="18" t="s">
        <v>286</v>
      </c>
      <c r="C100" s="19" t="s">
        <v>15</v>
      </c>
      <c r="D100" s="98">
        <v>82302</v>
      </c>
      <c r="E100" s="99" t="s">
        <v>261</v>
      </c>
      <c r="F100" s="407">
        <f>'Memória de cálculo'!H252</f>
        <v>190</v>
      </c>
      <c r="G100" s="19" t="s">
        <v>142</v>
      </c>
      <c r="H100" s="500"/>
      <c r="I100" s="500"/>
      <c r="J100" s="104">
        <f t="shared" si="4"/>
        <v>0</v>
      </c>
      <c r="K100" s="7"/>
    </row>
    <row r="101" spans="2:14">
      <c r="B101" s="18" t="s">
        <v>287</v>
      </c>
      <c r="C101" s="19" t="s">
        <v>15</v>
      </c>
      <c r="D101" s="98">
        <v>91011</v>
      </c>
      <c r="E101" s="99" t="s">
        <v>263</v>
      </c>
      <c r="F101" s="410">
        <f>'Memória de cálculo'!H254</f>
        <v>22</v>
      </c>
      <c r="G101" s="19" t="s">
        <v>147</v>
      </c>
      <c r="H101" s="500"/>
      <c r="I101" s="500"/>
      <c r="J101" s="104">
        <f t="shared" si="4"/>
        <v>0</v>
      </c>
      <c r="K101" s="7"/>
    </row>
    <row r="102" spans="2:14">
      <c r="B102" s="18" t="s">
        <v>288</v>
      </c>
      <c r="C102" s="19" t="s">
        <v>15</v>
      </c>
      <c r="D102" s="98">
        <v>91013</v>
      </c>
      <c r="E102" s="99" t="s">
        <v>264</v>
      </c>
      <c r="F102" s="410">
        <f>'Memória de cálculo'!H256</f>
        <v>43</v>
      </c>
      <c r="G102" s="19" t="s">
        <v>147</v>
      </c>
      <c r="H102" s="500"/>
      <c r="I102" s="500"/>
      <c r="J102" s="104">
        <f t="shared" si="4"/>
        <v>0</v>
      </c>
      <c r="K102" s="7"/>
    </row>
    <row r="103" spans="2:14">
      <c r="B103" s="18" t="s">
        <v>289</v>
      </c>
      <c r="C103" s="19" t="s">
        <v>15</v>
      </c>
      <c r="D103" s="98">
        <v>91017</v>
      </c>
      <c r="E103" s="99" t="s">
        <v>265</v>
      </c>
      <c r="F103" s="410">
        <f>'Memória de cálculo'!H258</f>
        <v>15</v>
      </c>
      <c r="G103" s="19" t="s">
        <v>147</v>
      </c>
      <c r="H103" s="500"/>
      <c r="I103" s="500"/>
      <c r="J103" s="104">
        <f t="shared" si="4"/>
        <v>0</v>
      </c>
      <c r="K103" s="7"/>
    </row>
    <row r="104" spans="2:14">
      <c r="B104" s="18" t="s">
        <v>290</v>
      </c>
      <c r="C104" s="19" t="s">
        <v>15</v>
      </c>
      <c r="D104" s="98">
        <v>91019</v>
      </c>
      <c r="E104" s="99" t="s">
        <v>266</v>
      </c>
      <c r="F104" s="410">
        <f>'Memória de cálculo'!H260</f>
        <v>6</v>
      </c>
      <c r="G104" s="19" t="s">
        <v>147</v>
      </c>
      <c r="H104" s="500"/>
      <c r="I104" s="500"/>
      <c r="J104" s="104">
        <f t="shared" si="4"/>
        <v>0</v>
      </c>
      <c r="K104" s="7"/>
    </row>
    <row r="105" spans="2:14">
      <c r="B105" s="18" t="s">
        <v>291</v>
      </c>
      <c r="C105" s="19" t="s">
        <v>15</v>
      </c>
      <c r="D105" s="98">
        <v>91021</v>
      </c>
      <c r="E105" s="99" t="s">
        <v>267</v>
      </c>
      <c r="F105" s="410">
        <f>'Memória de cálculo'!H262</f>
        <v>8</v>
      </c>
      <c r="G105" s="19" t="s">
        <v>147</v>
      </c>
      <c r="H105" s="500"/>
      <c r="I105" s="500"/>
      <c r="J105" s="104">
        <f t="shared" si="4"/>
        <v>0</v>
      </c>
      <c r="K105" s="7"/>
    </row>
    <row r="106" spans="2:14">
      <c r="B106" s="18" t="s">
        <v>292</v>
      </c>
      <c r="C106" s="19" t="s">
        <v>15</v>
      </c>
      <c r="D106" s="98">
        <v>91023</v>
      </c>
      <c r="E106" s="99" t="s">
        <v>268</v>
      </c>
      <c r="F106" s="410">
        <v>30</v>
      </c>
      <c r="G106" s="19" t="s">
        <v>147</v>
      </c>
      <c r="H106" s="500"/>
      <c r="I106" s="500"/>
      <c r="J106" s="104">
        <f t="shared" si="4"/>
        <v>0</v>
      </c>
      <c r="K106" s="7"/>
    </row>
    <row r="107" spans="2:14">
      <c r="B107" s="18" t="s">
        <v>432</v>
      </c>
      <c r="C107" s="19" t="s">
        <v>15</v>
      </c>
      <c r="D107" s="98">
        <v>91029</v>
      </c>
      <c r="E107" s="99" t="s">
        <v>269</v>
      </c>
      <c r="F107" s="410">
        <f>'Memória de cálculo'!H266</f>
        <v>6</v>
      </c>
      <c r="G107" s="19" t="s">
        <v>147</v>
      </c>
      <c r="H107" s="500"/>
      <c r="I107" s="500"/>
      <c r="J107" s="104">
        <f>ROUNDUP((I107+H107)*F107,2)</f>
        <v>0</v>
      </c>
      <c r="K107" s="7"/>
    </row>
    <row r="108" spans="2:14" ht="15.95" customHeight="1" thickBot="1">
      <c r="B108" s="503" t="s">
        <v>14</v>
      </c>
      <c r="C108" s="504"/>
      <c r="D108" s="504"/>
      <c r="E108" s="504"/>
      <c r="F108" s="504"/>
      <c r="G108" s="504"/>
      <c r="H108" s="504"/>
      <c r="I108" s="505"/>
      <c r="J108" s="36">
        <f>SUM(J68:J107)</f>
        <v>0</v>
      </c>
      <c r="K108" s="20">
        <f>J108+(J108*I172)</f>
        <v>0</v>
      </c>
      <c r="L108" s="37"/>
      <c r="M108" s="37"/>
      <c r="N108" s="37"/>
    </row>
    <row r="109" spans="2:14" ht="15.95" customHeight="1" thickBot="1">
      <c r="B109" s="506" t="s">
        <v>105</v>
      </c>
      <c r="C109" s="507"/>
      <c r="D109" s="507"/>
      <c r="E109" s="507"/>
      <c r="F109" s="507"/>
      <c r="G109" s="507"/>
      <c r="H109" s="507"/>
      <c r="I109" s="507"/>
      <c r="J109" s="508"/>
      <c r="K109" s="7"/>
    </row>
    <row r="110" spans="2:14" ht="24">
      <c r="B110" s="18" t="s">
        <v>104</v>
      </c>
      <c r="C110" s="19" t="s">
        <v>15</v>
      </c>
      <c r="D110" s="98">
        <v>100155</v>
      </c>
      <c r="E110" s="117" t="s">
        <v>293</v>
      </c>
      <c r="F110" s="407">
        <f>'Memória de cálculo'!H269+'Memória de cálculo'!H270+'Memória de cálculo'!H271+'Memória de cálculo'!H272+'Memória de cálculo'!H273+'Memória de cálculo'!H274+'Memória de cálculo'!H275+'Memória de cálculo'!H276</f>
        <v>470.1</v>
      </c>
      <c r="G110" s="19" t="s">
        <v>137</v>
      </c>
      <c r="H110" s="500"/>
      <c r="I110" s="501"/>
      <c r="J110" s="104">
        <f>ROUNDUP((I110+H110)*F110,2)</f>
        <v>0</v>
      </c>
      <c r="K110" s="7"/>
    </row>
    <row r="111" spans="2:14">
      <c r="B111" s="18" t="s">
        <v>176</v>
      </c>
      <c r="C111" s="19" t="s">
        <v>15</v>
      </c>
      <c r="D111" s="98">
        <v>100302</v>
      </c>
      <c r="E111" s="117" t="s">
        <v>294</v>
      </c>
      <c r="F111" s="407">
        <f>'Memória de cálculo'!H278+'Memória de cálculo'!H279</f>
        <v>23.400000000000002</v>
      </c>
      <c r="G111" s="19" t="s">
        <v>137</v>
      </c>
      <c r="H111" s="500"/>
      <c r="I111" s="501"/>
      <c r="J111" s="104">
        <f>ROUNDUP((I111+H111)*F111,2)</f>
        <v>0</v>
      </c>
      <c r="K111" s="7"/>
    </row>
    <row r="112" spans="2:14" ht="24">
      <c r="B112" s="18" t="s">
        <v>296</v>
      </c>
      <c r="C112" s="19" t="s">
        <v>15</v>
      </c>
      <c r="D112" s="98">
        <v>121001</v>
      </c>
      <c r="E112" s="117" t="s">
        <v>295</v>
      </c>
      <c r="F112" s="407">
        <f>'Memória de cálculo'!H281+'Memória de cálculo'!H282+'Memória de cálculo'!H283+'Memória de cálculo'!H284+'Memória de cálculo'!H285+'Memória de cálculo'!H286</f>
        <v>76.31</v>
      </c>
      <c r="G112" s="19" t="s">
        <v>137</v>
      </c>
      <c r="H112" s="500"/>
      <c r="I112" s="501"/>
      <c r="J112" s="104">
        <f>ROUNDUP((I112+H112)*F112,2)</f>
        <v>0</v>
      </c>
      <c r="K112" s="7"/>
    </row>
    <row r="113" spans="2:14" ht="36">
      <c r="B113" s="18" t="s">
        <v>297</v>
      </c>
      <c r="C113" s="19" t="s">
        <v>15</v>
      </c>
      <c r="D113" s="98">
        <v>121005</v>
      </c>
      <c r="E113" s="117" t="s">
        <v>491</v>
      </c>
      <c r="F113" s="407">
        <f>'Memória de cálculo'!H288+'Memória de cálculo'!H289+'Memória de cálculo'!H290+'Memória de cálculo'!H291+'Memória de cálculo'!H292</f>
        <v>85.84</v>
      </c>
      <c r="G113" s="19" t="s">
        <v>137</v>
      </c>
      <c r="H113" s="500"/>
      <c r="I113" s="501"/>
      <c r="J113" s="104">
        <f>ROUNDUP((I113+H113)*F113,2)</f>
        <v>0</v>
      </c>
      <c r="K113" s="7"/>
    </row>
    <row r="114" spans="2:14" ht="15.95" customHeight="1" thickBot="1">
      <c r="B114" s="503" t="s">
        <v>14</v>
      </c>
      <c r="C114" s="504"/>
      <c r="D114" s="504"/>
      <c r="E114" s="504"/>
      <c r="F114" s="504"/>
      <c r="G114" s="504"/>
      <c r="H114" s="504"/>
      <c r="I114" s="505"/>
      <c r="J114" s="36">
        <f>SUM(J110:J113)</f>
        <v>0</v>
      </c>
      <c r="K114" s="20">
        <f>J114+(J114*I172)</f>
        <v>0</v>
      </c>
      <c r="L114" s="37"/>
      <c r="M114" s="37"/>
      <c r="N114" s="37"/>
    </row>
    <row r="115" spans="2:14" ht="15.95" customHeight="1" thickBot="1">
      <c r="B115" s="506" t="s">
        <v>160</v>
      </c>
      <c r="C115" s="507"/>
      <c r="D115" s="507"/>
      <c r="E115" s="507"/>
      <c r="F115" s="507"/>
      <c r="G115" s="507"/>
      <c r="H115" s="507"/>
      <c r="I115" s="507"/>
      <c r="J115" s="508"/>
      <c r="K115" s="7"/>
    </row>
    <row r="116" spans="2:14">
      <c r="B116" s="18" t="s">
        <v>106</v>
      </c>
      <c r="C116" s="19" t="s">
        <v>15</v>
      </c>
      <c r="D116" s="98">
        <v>140201</v>
      </c>
      <c r="E116" s="117" t="s">
        <v>298</v>
      </c>
      <c r="F116" s="407">
        <f>'Memória de cálculo'!H296+'Memória de cálculo'!H297+'Memória de cálculo'!H295</f>
        <v>203.02999999999997</v>
      </c>
      <c r="G116" s="19" t="s">
        <v>137</v>
      </c>
      <c r="H116" s="500"/>
      <c r="I116" s="501"/>
      <c r="J116" s="104">
        <f t="shared" ref="J116:J121" si="5">ROUNDUP((I116+H116)*F116,2)</f>
        <v>0</v>
      </c>
      <c r="K116" s="7"/>
    </row>
    <row r="117" spans="2:14">
      <c r="B117" s="18" t="s">
        <v>107</v>
      </c>
      <c r="C117" s="19" t="s">
        <v>15</v>
      </c>
      <c r="D117" s="98">
        <v>160404</v>
      </c>
      <c r="E117" s="117" t="s">
        <v>303</v>
      </c>
      <c r="F117" s="407">
        <f>'Memória de cálculo'!H300+'Memória de cálculo'!H299</f>
        <v>45.5</v>
      </c>
      <c r="G117" s="19" t="s">
        <v>142</v>
      </c>
      <c r="H117" s="500"/>
      <c r="I117" s="501"/>
      <c r="J117" s="104">
        <f t="shared" si="5"/>
        <v>0</v>
      </c>
      <c r="K117" s="7"/>
    </row>
    <row r="118" spans="2:14">
      <c r="B118" s="18" t="s">
        <v>108</v>
      </c>
      <c r="C118" s="19" t="s">
        <v>15</v>
      </c>
      <c r="D118" s="98">
        <v>160501</v>
      </c>
      <c r="E118" s="117" t="s">
        <v>299</v>
      </c>
      <c r="F118" s="407">
        <f>'Memória de cálculo'!H303+'Memória de cálculo'!H304+'Memória de cálculo'!H302</f>
        <v>203.02999999999997</v>
      </c>
      <c r="G118" s="19" t="s">
        <v>137</v>
      </c>
      <c r="H118" s="500"/>
      <c r="I118" s="501"/>
      <c r="J118" s="104">
        <f t="shared" si="5"/>
        <v>0</v>
      </c>
      <c r="K118" s="7"/>
    </row>
    <row r="119" spans="2:14">
      <c r="B119" s="18" t="s">
        <v>161</v>
      </c>
      <c r="C119" s="19" t="s">
        <v>15</v>
      </c>
      <c r="D119" s="98">
        <v>160502</v>
      </c>
      <c r="E119" s="117" t="s">
        <v>300</v>
      </c>
      <c r="F119" s="407">
        <f>'Memória de cálculo'!H306+'Memória de cálculo'!H307</f>
        <v>21.7</v>
      </c>
      <c r="G119" s="19" t="s">
        <v>142</v>
      </c>
      <c r="H119" s="500"/>
      <c r="I119" s="501"/>
      <c r="J119" s="104">
        <f t="shared" si="5"/>
        <v>0</v>
      </c>
      <c r="K119" s="7"/>
    </row>
    <row r="120" spans="2:14">
      <c r="B120" s="18" t="s">
        <v>162</v>
      </c>
      <c r="C120" s="19" t="s">
        <v>15</v>
      </c>
      <c r="D120" s="98">
        <v>160601</v>
      </c>
      <c r="E120" s="117" t="s">
        <v>301</v>
      </c>
      <c r="F120" s="407">
        <f>'Memória de cálculo'!H309+'Memória de cálculo'!H310+'Memória de cálculo'!H311</f>
        <v>146.30000000000001</v>
      </c>
      <c r="G120" s="19" t="s">
        <v>142</v>
      </c>
      <c r="H120" s="500"/>
      <c r="I120" s="501"/>
      <c r="J120" s="104">
        <f t="shared" si="5"/>
        <v>0</v>
      </c>
      <c r="K120" s="7"/>
    </row>
    <row r="121" spans="2:14">
      <c r="B121" s="18" t="s">
        <v>174</v>
      </c>
      <c r="C121" s="19" t="s">
        <v>15</v>
      </c>
      <c r="D121" s="98">
        <v>160602</v>
      </c>
      <c r="E121" s="117" t="s">
        <v>302</v>
      </c>
      <c r="F121" s="407">
        <f>'Memória de cálculo'!H313+'Memória de cálculo'!H314+'Memória de cálculo'!H315</f>
        <v>101.1</v>
      </c>
      <c r="G121" s="19" t="s">
        <v>142</v>
      </c>
      <c r="H121" s="500"/>
      <c r="I121" s="501"/>
      <c r="J121" s="104">
        <f t="shared" si="5"/>
        <v>0</v>
      </c>
      <c r="K121" s="7"/>
    </row>
    <row r="122" spans="2:14" ht="15.95" customHeight="1" thickBot="1">
      <c r="B122" s="503" t="s">
        <v>14</v>
      </c>
      <c r="C122" s="504"/>
      <c r="D122" s="504"/>
      <c r="E122" s="504"/>
      <c r="F122" s="504"/>
      <c r="G122" s="504"/>
      <c r="H122" s="504"/>
      <c r="I122" s="505"/>
      <c r="J122" s="36">
        <f>SUM(J116:J121)</f>
        <v>0</v>
      </c>
      <c r="K122" s="20">
        <f>J122+(J122*I172)</f>
        <v>0</v>
      </c>
      <c r="L122" s="37"/>
      <c r="M122" s="37"/>
      <c r="N122" s="37"/>
    </row>
    <row r="123" spans="2:14" ht="15.95" customHeight="1" thickBot="1">
      <c r="B123" s="506" t="s">
        <v>111</v>
      </c>
      <c r="C123" s="507"/>
      <c r="D123" s="507"/>
      <c r="E123" s="507"/>
      <c r="F123" s="507"/>
      <c r="G123" s="507"/>
      <c r="H123" s="507"/>
      <c r="I123" s="507"/>
      <c r="J123" s="508"/>
      <c r="K123" s="7"/>
    </row>
    <row r="124" spans="2:14">
      <c r="B124" s="18" t="s">
        <v>109</v>
      </c>
      <c r="C124" s="19" t="s">
        <v>15</v>
      </c>
      <c r="D124" s="98">
        <v>170010</v>
      </c>
      <c r="E124" s="117" t="s">
        <v>304</v>
      </c>
      <c r="F124" s="407">
        <f>'Memória de cálculo'!H318</f>
        <v>176.8</v>
      </c>
      <c r="G124" s="19" t="s">
        <v>142</v>
      </c>
      <c r="H124" s="500"/>
      <c r="I124" s="501"/>
      <c r="J124" s="104">
        <f>ROUNDUP((I124+H124)*F124,2)</f>
        <v>0</v>
      </c>
      <c r="K124" s="7"/>
    </row>
    <row r="125" spans="2:14">
      <c r="B125" s="18" t="s">
        <v>110</v>
      </c>
      <c r="C125" s="19" t="s">
        <v>15</v>
      </c>
      <c r="D125" s="98">
        <v>170113</v>
      </c>
      <c r="E125" s="117" t="s">
        <v>305</v>
      </c>
      <c r="F125" s="410">
        <f>'Memória de cálculo'!H320</f>
        <v>19</v>
      </c>
      <c r="G125" s="19" t="s">
        <v>147</v>
      </c>
      <c r="H125" s="500"/>
      <c r="I125" s="501"/>
      <c r="J125" s="104">
        <f t="shared" ref="J125:J132" si="6">ROUNDUP((I125+H125)*F125,2)</f>
        <v>0</v>
      </c>
      <c r="K125" s="7"/>
    </row>
    <row r="126" spans="2:14">
      <c r="B126" s="18" t="s">
        <v>314</v>
      </c>
      <c r="C126" s="19" t="s">
        <v>15</v>
      </c>
      <c r="D126" s="98">
        <v>180381</v>
      </c>
      <c r="E126" s="117" t="s">
        <v>306</v>
      </c>
      <c r="F126" s="407">
        <f>'Memória de cálculo'!H322+'Memória de cálculo'!H323+'Memória de cálculo'!H324+'Memória de cálculo'!H325+'Memória de cálculo'!H326</f>
        <v>5.62</v>
      </c>
      <c r="G126" s="19" t="s">
        <v>137</v>
      </c>
      <c r="H126" s="500"/>
      <c r="I126" s="501"/>
      <c r="J126" s="104">
        <f t="shared" si="6"/>
        <v>0</v>
      </c>
      <c r="K126" s="7"/>
    </row>
    <row r="127" spans="2:14">
      <c r="B127" s="18" t="s">
        <v>315</v>
      </c>
      <c r="C127" s="19" t="s">
        <v>15</v>
      </c>
      <c r="D127" s="98">
        <v>180401</v>
      </c>
      <c r="E127" s="117" t="s">
        <v>307</v>
      </c>
      <c r="F127" s="407">
        <f>'Memória de cálculo'!H328</f>
        <v>3.3000000000000003</v>
      </c>
      <c r="G127" s="19" t="s">
        <v>137</v>
      </c>
      <c r="H127" s="500"/>
      <c r="I127" s="501"/>
      <c r="J127" s="104">
        <f t="shared" si="6"/>
        <v>0</v>
      </c>
      <c r="K127" s="7"/>
    </row>
    <row r="128" spans="2:14">
      <c r="B128" s="18" t="s">
        <v>316</v>
      </c>
      <c r="C128" s="19" t="s">
        <v>15</v>
      </c>
      <c r="D128" s="98">
        <v>180491</v>
      </c>
      <c r="E128" s="117" t="s">
        <v>308</v>
      </c>
      <c r="F128" s="407">
        <f>'Memória de cálculo'!H331+'Memória de cálculo'!H330</f>
        <v>6.09</v>
      </c>
      <c r="G128" s="19" t="s">
        <v>137</v>
      </c>
      <c r="H128" s="500"/>
      <c r="I128" s="501"/>
      <c r="J128" s="104">
        <f t="shared" si="6"/>
        <v>0</v>
      </c>
      <c r="K128" s="7"/>
    </row>
    <row r="129" spans="2:14">
      <c r="B129" s="18" t="s">
        <v>317</v>
      </c>
      <c r="C129" s="19" t="s">
        <v>15</v>
      </c>
      <c r="D129" s="98">
        <v>180502</v>
      </c>
      <c r="E129" s="117" t="s">
        <v>312</v>
      </c>
      <c r="F129" s="407">
        <f>'Memória de cálculo'!H333</f>
        <v>1.6800000000000002</v>
      </c>
      <c r="G129" s="19" t="s">
        <v>137</v>
      </c>
      <c r="H129" s="500"/>
      <c r="I129" s="501"/>
      <c r="J129" s="104">
        <f t="shared" si="6"/>
        <v>0</v>
      </c>
      <c r="K129" s="7"/>
    </row>
    <row r="130" spans="2:14">
      <c r="B130" s="18" t="s">
        <v>318</v>
      </c>
      <c r="C130" s="19" t="s">
        <v>15</v>
      </c>
      <c r="D130" s="98">
        <v>180504</v>
      </c>
      <c r="E130" s="117" t="s">
        <v>310</v>
      </c>
      <c r="F130" s="407">
        <f>'Memória de cálculo'!H335+'Memória de cálculo'!H336</f>
        <v>6.09</v>
      </c>
      <c r="G130" s="19" t="s">
        <v>137</v>
      </c>
      <c r="H130" s="500"/>
      <c r="I130" s="501"/>
      <c r="J130" s="104">
        <f t="shared" si="6"/>
        <v>0</v>
      </c>
      <c r="K130" s="7"/>
    </row>
    <row r="131" spans="2:14">
      <c r="B131" s="18" t="s">
        <v>319</v>
      </c>
      <c r="C131" s="19" t="s">
        <v>15</v>
      </c>
      <c r="D131" s="98">
        <v>180506</v>
      </c>
      <c r="E131" s="117" t="s">
        <v>309</v>
      </c>
      <c r="F131" s="407">
        <f>'Memória de cálculo'!H338</f>
        <v>16.065000000000001</v>
      </c>
      <c r="G131" s="19" t="s">
        <v>137</v>
      </c>
      <c r="H131" s="500"/>
      <c r="I131" s="501"/>
      <c r="J131" s="104">
        <f t="shared" si="6"/>
        <v>0</v>
      </c>
      <c r="K131" s="7"/>
    </row>
    <row r="132" spans="2:14">
      <c r="B132" s="18" t="s">
        <v>320</v>
      </c>
      <c r="C132" s="19" t="s">
        <v>15</v>
      </c>
      <c r="D132" s="98">
        <v>180509</v>
      </c>
      <c r="E132" s="117" t="s">
        <v>311</v>
      </c>
      <c r="F132" s="407">
        <f>'Memória de cálculo'!H340</f>
        <v>8.9599999999999991</v>
      </c>
      <c r="G132" s="19" t="s">
        <v>137</v>
      </c>
      <c r="H132" s="500"/>
      <c r="I132" s="501"/>
      <c r="J132" s="104">
        <f t="shared" si="6"/>
        <v>0</v>
      </c>
      <c r="K132" s="7"/>
    </row>
    <row r="133" spans="2:14">
      <c r="B133" s="18" t="s">
        <v>321</v>
      </c>
      <c r="C133" s="19" t="s">
        <v>15</v>
      </c>
      <c r="D133" s="98">
        <v>190104</v>
      </c>
      <c r="E133" s="117" t="s">
        <v>313</v>
      </c>
      <c r="F133" s="407">
        <f>'Memória de cálculo'!H342+'Memória de cálculo'!H343+'Memória de cálculo'!H344+'Memória de cálculo'!H345</f>
        <v>26.664999999999999</v>
      </c>
      <c r="G133" s="19" t="s">
        <v>137</v>
      </c>
      <c r="H133" s="500"/>
      <c r="I133" s="501"/>
      <c r="J133" s="104">
        <f>ROUNDUP((I133+H133)*F133,2)</f>
        <v>0</v>
      </c>
      <c r="K133" s="7"/>
    </row>
    <row r="134" spans="2:14" ht="15.95" customHeight="1" thickBot="1">
      <c r="B134" s="503" t="s">
        <v>14</v>
      </c>
      <c r="C134" s="504"/>
      <c r="D134" s="504"/>
      <c r="E134" s="504"/>
      <c r="F134" s="504"/>
      <c r="G134" s="504"/>
      <c r="H134" s="504"/>
      <c r="I134" s="505"/>
      <c r="J134" s="36">
        <f>SUM(J124:J133)</f>
        <v>0</v>
      </c>
      <c r="K134" s="20">
        <f>J134+(J134*I172)</f>
        <v>0</v>
      </c>
      <c r="L134" s="37"/>
      <c r="M134" s="37"/>
      <c r="N134" s="37"/>
    </row>
    <row r="135" spans="2:14" ht="15.95" customHeight="1" thickBot="1">
      <c r="B135" s="506" t="s">
        <v>163</v>
      </c>
      <c r="C135" s="507"/>
      <c r="D135" s="507"/>
      <c r="E135" s="507"/>
      <c r="F135" s="507"/>
      <c r="G135" s="507"/>
      <c r="H135" s="507"/>
      <c r="I135" s="507"/>
      <c r="J135" s="508"/>
      <c r="K135" s="7"/>
    </row>
    <row r="136" spans="2:14">
      <c r="B136" s="18" t="s">
        <v>112</v>
      </c>
      <c r="C136" s="19" t="s">
        <v>15</v>
      </c>
      <c r="D136" s="98">
        <v>200101</v>
      </c>
      <c r="E136" s="117" t="s">
        <v>322</v>
      </c>
      <c r="F136" s="407">
        <f>'Memória de cálculo'!H348</f>
        <v>940.2</v>
      </c>
      <c r="G136" s="19" t="s">
        <v>137</v>
      </c>
      <c r="H136" s="500"/>
      <c r="I136" s="501"/>
      <c r="J136" s="104">
        <f>ROUNDUP((I136+H136)*F136,2)</f>
        <v>0</v>
      </c>
      <c r="K136" s="7"/>
    </row>
    <row r="137" spans="2:14">
      <c r="B137" s="18" t="s">
        <v>113</v>
      </c>
      <c r="C137" s="19" t="s">
        <v>15</v>
      </c>
      <c r="D137" s="98">
        <v>200102</v>
      </c>
      <c r="E137" s="117" t="s">
        <v>323</v>
      </c>
      <c r="F137" s="407">
        <f>'Memória de cálculo'!H350</f>
        <v>135</v>
      </c>
      <c r="G137" s="19" t="s">
        <v>142</v>
      </c>
      <c r="H137" s="500"/>
      <c r="I137" s="501"/>
      <c r="J137" s="104">
        <f>ROUNDUP((I137+H137)*F137,2)</f>
        <v>0</v>
      </c>
      <c r="K137" s="7"/>
    </row>
    <row r="138" spans="2:14">
      <c r="B138" s="18" t="s">
        <v>114</v>
      </c>
      <c r="C138" s="19" t="s">
        <v>15</v>
      </c>
      <c r="D138" s="98">
        <v>200200</v>
      </c>
      <c r="E138" s="117" t="s">
        <v>324</v>
      </c>
      <c r="F138" s="407">
        <f>'Memória de cálculo'!H352</f>
        <v>981.41599999999994</v>
      </c>
      <c r="G138" s="19" t="s">
        <v>137</v>
      </c>
      <c r="H138" s="500"/>
      <c r="I138" s="501"/>
      <c r="J138" s="104">
        <f>ROUNDUP((I138+H138)*F138,2)</f>
        <v>0</v>
      </c>
      <c r="K138" s="7"/>
    </row>
    <row r="139" spans="2:14">
      <c r="B139" s="18" t="s">
        <v>115</v>
      </c>
      <c r="C139" s="19" t="s">
        <v>15</v>
      </c>
      <c r="D139" s="98">
        <v>200403</v>
      </c>
      <c r="E139" s="99" t="s">
        <v>325</v>
      </c>
      <c r="F139" s="407">
        <f>'Memória de cálculo'!H382</f>
        <v>733.56000000000006</v>
      </c>
      <c r="G139" s="19" t="s">
        <v>137</v>
      </c>
      <c r="H139" s="500"/>
      <c r="I139" s="500"/>
      <c r="J139" s="104">
        <f t="shared" ref="J139:J147" si="7">ROUNDUP((I139+H139)*F139,2)</f>
        <v>0</v>
      </c>
      <c r="K139" s="7"/>
    </row>
    <row r="140" spans="2:14">
      <c r="B140" s="18" t="s">
        <v>116</v>
      </c>
      <c r="C140" s="19" t="s">
        <v>15</v>
      </c>
      <c r="D140" s="98">
        <v>201302</v>
      </c>
      <c r="E140" s="99" t="s">
        <v>326</v>
      </c>
      <c r="F140" s="407">
        <f>'Memória de cálculo'!H402</f>
        <v>247.85599999999997</v>
      </c>
      <c r="G140" s="19" t="s">
        <v>137</v>
      </c>
      <c r="H140" s="500"/>
      <c r="I140" s="500"/>
      <c r="J140" s="104">
        <f>ROUNDUP((I140+H140)*F140,2)</f>
        <v>0</v>
      </c>
      <c r="K140" s="7"/>
    </row>
    <row r="141" spans="2:14">
      <c r="B141" s="18" t="s">
        <v>117</v>
      </c>
      <c r="C141" s="19" t="s">
        <v>15</v>
      </c>
      <c r="D141" s="98">
        <v>210101</v>
      </c>
      <c r="E141" s="99" t="s">
        <v>327</v>
      </c>
      <c r="F141" s="407">
        <f>'Memória de cálculo'!H414+'Memória de cálculo'!H415+'Memória de cálculo'!H413</f>
        <v>166.13249999999999</v>
      </c>
      <c r="G141" s="19" t="s">
        <v>137</v>
      </c>
      <c r="H141" s="500"/>
      <c r="I141" s="500"/>
      <c r="J141" s="104">
        <f t="shared" si="7"/>
        <v>0</v>
      </c>
      <c r="K141" s="7"/>
    </row>
    <row r="142" spans="2:14">
      <c r="B142" s="18" t="s">
        <v>134</v>
      </c>
      <c r="C142" s="19" t="s">
        <v>15</v>
      </c>
      <c r="D142" s="98">
        <v>210301</v>
      </c>
      <c r="E142" s="99" t="s">
        <v>328</v>
      </c>
      <c r="F142" s="407">
        <f>'Memória de cálculo'!H418+'Memória de cálculo'!H419+'Memória de cálculo'!H417</f>
        <v>166.13249999999999</v>
      </c>
      <c r="G142" s="19" t="s">
        <v>137</v>
      </c>
      <c r="H142" s="500"/>
      <c r="I142" s="500"/>
      <c r="J142" s="104">
        <f t="shared" si="7"/>
        <v>0</v>
      </c>
      <c r="K142" s="7"/>
    </row>
    <row r="143" spans="2:14">
      <c r="B143" s="18" t="s">
        <v>118</v>
      </c>
      <c r="C143" s="19" t="s">
        <v>15</v>
      </c>
      <c r="D143" s="98">
        <v>210501</v>
      </c>
      <c r="E143" s="99" t="s">
        <v>329</v>
      </c>
      <c r="F143" s="407">
        <f>'Memória de cálculo'!H421+'Memória de cálculo'!H422+'Memória de cálculo'!H423+'Memória de cálculo'!H424+'Memória de cálculo'!H425+'Memória de cálculo'!H426</f>
        <v>228.1225</v>
      </c>
      <c r="G143" s="19" t="s">
        <v>137</v>
      </c>
      <c r="H143" s="500"/>
      <c r="I143" s="500"/>
      <c r="J143" s="104">
        <f t="shared" si="7"/>
        <v>0</v>
      </c>
      <c r="K143" s="7"/>
    </row>
    <row r="144" spans="2:14" ht="36">
      <c r="B144" s="18" t="s">
        <v>177</v>
      </c>
      <c r="C144" s="19" t="s">
        <v>15</v>
      </c>
      <c r="D144" s="98">
        <v>220100</v>
      </c>
      <c r="E144" s="99" t="s">
        <v>330</v>
      </c>
      <c r="F144" s="407">
        <f>'Memória de cálculo'!H428+'Memória de cálculo'!H429</f>
        <v>48.07</v>
      </c>
      <c r="G144" s="19" t="s">
        <v>137</v>
      </c>
      <c r="H144" s="500"/>
      <c r="I144" s="500"/>
      <c r="J144" s="104">
        <f t="shared" si="7"/>
        <v>0</v>
      </c>
      <c r="K144" s="7"/>
    </row>
    <row r="145" spans="2:14" ht="24">
      <c r="B145" s="18" t="s">
        <v>332</v>
      </c>
      <c r="C145" s="19" t="s">
        <v>15</v>
      </c>
      <c r="D145" s="98">
        <v>221101</v>
      </c>
      <c r="E145" s="99" t="s">
        <v>538</v>
      </c>
      <c r="F145" s="407">
        <f>'Memória de cálculo'!H431+'Memória de cálculo'!H432+'Memória de cálculo'!H433+'Memória de cálculo'!H434+'Memória de cálculo'!H435+'Memória de cálculo'!H436+'Memória de cálculo'!H437+'Memória de cálculo'!H438+'Memória de cálculo'!H439+'Memória de cálculo'!H440</f>
        <v>146.3125</v>
      </c>
      <c r="G145" s="19" t="s">
        <v>137</v>
      </c>
      <c r="H145" s="500"/>
      <c r="I145" s="500"/>
      <c r="J145" s="104">
        <f t="shared" si="7"/>
        <v>0</v>
      </c>
      <c r="K145" s="7"/>
    </row>
    <row r="146" spans="2:14">
      <c r="B146" s="18" t="s">
        <v>333</v>
      </c>
      <c r="C146" s="19" t="s">
        <v>15</v>
      </c>
      <c r="D146" s="98">
        <v>221102</v>
      </c>
      <c r="E146" s="99" t="s">
        <v>539</v>
      </c>
      <c r="F146" s="407">
        <f>'Memória de cálculo'!H442</f>
        <v>350.06999999999994</v>
      </c>
      <c r="G146" s="19" t="s">
        <v>142</v>
      </c>
      <c r="H146" s="500"/>
      <c r="I146" s="500"/>
      <c r="J146" s="104">
        <f t="shared" si="7"/>
        <v>0</v>
      </c>
      <c r="K146" s="7"/>
    </row>
    <row r="147" spans="2:14">
      <c r="B147" s="18" t="s">
        <v>334</v>
      </c>
      <c r="C147" s="19" t="s">
        <v>15</v>
      </c>
      <c r="D147" s="98">
        <v>221104</v>
      </c>
      <c r="E147" s="99" t="s">
        <v>331</v>
      </c>
      <c r="F147" s="407">
        <f>'Memória de cálculo'!H472+'Memória de cálculo'!H473+'Memória de cálculo'!H474+'Memória de cálculo'!H475+'Memória de cálculo'!H476+'Memória de cálculo'!H477+'Memória de cálculo'!H478+'Memória de cálculo'!H479+'Memória de cálculo'!H480+'Memória de cálculo'!H481</f>
        <v>146.3125</v>
      </c>
      <c r="G147" s="19" t="s">
        <v>137</v>
      </c>
      <c r="H147" s="500"/>
      <c r="I147" s="500"/>
      <c r="J147" s="104">
        <f t="shared" si="7"/>
        <v>0</v>
      </c>
      <c r="K147" s="7"/>
    </row>
    <row r="148" spans="2:14" ht="15.95" customHeight="1" thickBot="1">
      <c r="B148" s="503" t="s">
        <v>14</v>
      </c>
      <c r="C148" s="504"/>
      <c r="D148" s="504"/>
      <c r="E148" s="504"/>
      <c r="F148" s="504"/>
      <c r="G148" s="504"/>
      <c r="H148" s="504"/>
      <c r="I148" s="505"/>
      <c r="J148" s="36">
        <f>SUM(J136:J147)</f>
        <v>0</v>
      </c>
      <c r="K148" s="20">
        <f>J148+(J148*I172)</f>
        <v>0</v>
      </c>
      <c r="L148" s="37"/>
      <c r="M148" s="37"/>
      <c r="N148" s="37"/>
    </row>
    <row r="149" spans="2:14" ht="15.95" customHeight="1" thickBot="1">
      <c r="B149" s="506" t="s">
        <v>164</v>
      </c>
      <c r="C149" s="507"/>
      <c r="D149" s="507"/>
      <c r="E149" s="507"/>
      <c r="F149" s="507"/>
      <c r="G149" s="507"/>
      <c r="H149" s="507"/>
      <c r="I149" s="507"/>
      <c r="J149" s="508"/>
      <c r="K149" s="7"/>
    </row>
    <row r="150" spans="2:14">
      <c r="B150" s="18" t="s">
        <v>119</v>
      </c>
      <c r="C150" s="19" t="s">
        <v>15</v>
      </c>
      <c r="D150" s="98">
        <v>250102</v>
      </c>
      <c r="E150" s="117" t="s">
        <v>167</v>
      </c>
      <c r="F150" s="410">
        <f>'Memória de cálculo'!H484</f>
        <v>800</v>
      </c>
      <c r="G150" s="19" t="s">
        <v>166</v>
      </c>
      <c r="H150" s="500"/>
      <c r="I150" s="501"/>
      <c r="J150" s="104">
        <f>ROUNDUP((I150+H150)*F150,2)</f>
        <v>0</v>
      </c>
      <c r="K150" s="7"/>
    </row>
    <row r="151" spans="2:14">
      <c r="B151" s="18" t="s">
        <v>120</v>
      </c>
      <c r="C151" s="19" t="s">
        <v>15</v>
      </c>
      <c r="D151" s="98">
        <v>250103</v>
      </c>
      <c r="E151" s="117" t="s">
        <v>165</v>
      </c>
      <c r="F151" s="410">
        <f>'Memória de cálculo'!H486</f>
        <v>960</v>
      </c>
      <c r="G151" s="19" t="s">
        <v>166</v>
      </c>
      <c r="H151" s="500"/>
      <c r="I151" s="501"/>
      <c r="J151" s="104">
        <f t="shared" ref="J151:J153" si="8">ROUNDUP((I151+H151)*F151,2)</f>
        <v>0</v>
      </c>
      <c r="K151" s="7"/>
    </row>
    <row r="152" spans="2:14">
      <c r="B152" s="18" t="s">
        <v>511</v>
      </c>
      <c r="C152" s="19" t="s">
        <v>513</v>
      </c>
      <c r="D152" s="98">
        <v>11</v>
      </c>
      <c r="E152" s="117" t="s">
        <v>512</v>
      </c>
      <c r="F152" s="410">
        <f>'Memória de cálculo'!H488</f>
        <v>480</v>
      </c>
      <c r="G152" s="19" t="s">
        <v>166</v>
      </c>
      <c r="H152" s="500"/>
      <c r="I152" s="501"/>
      <c r="J152" s="104">
        <f t="shared" si="8"/>
        <v>0</v>
      </c>
      <c r="K152" s="7"/>
    </row>
    <row r="153" spans="2:14">
      <c r="B153" s="18" t="s">
        <v>517</v>
      </c>
      <c r="C153" s="19" t="s">
        <v>513</v>
      </c>
      <c r="D153" s="98">
        <v>12</v>
      </c>
      <c r="E153" s="117" t="s">
        <v>516</v>
      </c>
      <c r="F153" s="410">
        <f>'Memória de cálculo'!H490</f>
        <v>480</v>
      </c>
      <c r="G153" s="19" t="s">
        <v>166</v>
      </c>
      <c r="H153" s="500"/>
      <c r="I153" s="501"/>
      <c r="J153" s="104">
        <f t="shared" si="8"/>
        <v>0</v>
      </c>
      <c r="K153" s="7"/>
    </row>
    <row r="154" spans="2:14" ht="15.95" customHeight="1" thickBot="1">
      <c r="B154" s="503" t="s">
        <v>14</v>
      </c>
      <c r="C154" s="504"/>
      <c r="D154" s="504"/>
      <c r="E154" s="504"/>
      <c r="F154" s="504"/>
      <c r="G154" s="504"/>
      <c r="H154" s="504"/>
      <c r="I154" s="505"/>
      <c r="J154" s="36">
        <f>SUM(J150:J153)</f>
        <v>0</v>
      </c>
      <c r="K154" s="20">
        <f>J154+(J154*I172)</f>
        <v>0</v>
      </c>
      <c r="L154" s="37"/>
      <c r="M154" s="37"/>
      <c r="N154" s="37"/>
    </row>
    <row r="155" spans="2:14" ht="15.95" customHeight="1" thickBot="1">
      <c r="B155" s="506" t="s">
        <v>130</v>
      </c>
      <c r="C155" s="507"/>
      <c r="D155" s="507"/>
      <c r="E155" s="507"/>
      <c r="F155" s="507"/>
      <c r="G155" s="507"/>
      <c r="H155" s="507"/>
      <c r="I155" s="507"/>
      <c r="J155" s="508"/>
      <c r="K155" s="7"/>
    </row>
    <row r="156" spans="2:14">
      <c r="B156" s="18" t="s">
        <v>121</v>
      </c>
      <c r="C156" s="19" t="s">
        <v>15</v>
      </c>
      <c r="D156" s="98">
        <v>230102</v>
      </c>
      <c r="E156" s="117" t="s">
        <v>335</v>
      </c>
      <c r="F156" s="410">
        <f>'Memória de cálculo'!H493</f>
        <v>19</v>
      </c>
      <c r="G156" s="19" t="s">
        <v>147</v>
      </c>
      <c r="H156" s="500"/>
      <c r="I156" s="501"/>
      <c r="J156" s="104">
        <f>ROUNDUP((I156+H156)*F156,2)</f>
        <v>0</v>
      </c>
      <c r="K156" s="7"/>
    </row>
    <row r="157" spans="2:14">
      <c r="B157" s="18" t="s">
        <v>122</v>
      </c>
      <c r="C157" s="19" t="s">
        <v>15</v>
      </c>
      <c r="D157" s="98">
        <v>230201</v>
      </c>
      <c r="E157" s="117" t="s">
        <v>336</v>
      </c>
      <c r="F157" s="410">
        <f>'Memória de cálculo'!H495</f>
        <v>57</v>
      </c>
      <c r="G157" s="19" t="s">
        <v>147</v>
      </c>
      <c r="H157" s="500"/>
      <c r="I157" s="501"/>
      <c r="J157" s="104">
        <f t="shared" ref="J157:J168" si="9">ROUNDUP((I157+H157)*F157,2)</f>
        <v>0</v>
      </c>
      <c r="K157" s="7"/>
    </row>
    <row r="158" spans="2:14">
      <c r="B158" s="18" t="s">
        <v>123</v>
      </c>
      <c r="C158" s="19" t="s">
        <v>15</v>
      </c>
      <c r="D158" s="98">
        <v>240208</v>
      </c>
      <c r="E158" s="117" t="s">
        <v>337</v>
      </c>
      <c r="F158" s="407">
        <f>'Memória de cálculo'!H497+'Memória de cálculo'!H498+'Memória de cálculo'!H499</f>
        <v>91.84</v>
      </c>
      <c r="G158" s="19" t="s">
        <v>142</v>
      </c>
      <c r="H158" s="500"/>
      <c r="I158" s="501"/>
      <c r="J158" s="104">
        <f t="shared" si="9"/>
        <v>0</v>
      </c>
      <c r="K158" s="7"/>
    </row>
    <row r="159" spans="2:14">
      <c r="B159" s="18" t="s">
        <v>124</v>
      </c>
      <c r="C159" s="19" t="s">
        <v>15</v>
      </c>
      <c r="D159" s="98">
        <v>260601</v>
      </c>
      <c r="E159" s="117" t="s">
        <v>338</v>
      </c>
      <c r="F159" s="407">
        <f>'Memória de cálculo'!H501+'Memória de cálculo'!H502</f>
        <v>965.89499999999998</v>
      </c>
      <c r="G159" s="19" t="s">
        <v>137</v>
      </c>
      <c r="H159" s="500"/>
      <c r="I159" s="501"/>
      <c r="J159" s="104">
        <f t="shared" si="9"/>
        <v>0</v>
      </c>
      <c r="K159" s="7"/>
    </row>
    <row r="160" spans="2:14">
      <c r="B160" s="18" t="s">
        <v>125</v>
      </c>
      <c r="C160" s="19" t="s">
        <v>15</v>
      </c>
      <c r="D160" s="98">
        <v>261001</v>
      </c>
      <c r="E160" s="99" t="s">
        <v>555</v>
      </c>
      <c r="F160" s="407">
        <f>'Memória de cálculo'!H504+'Memória de cálculo'!H505</f>
        <v>1472.7719999999999</v>
      </c>
      <c r="G160" s="19" t="s">
        <v>137</v>
      </c>
      <c r="H160" s="500"/>
      <c r="I160" s="500"/>
      <c r="J160" s="104">
        <f t="shared" si="9"/>
        <v>0</v>
      </c>
      <c r="K160" s="7"/>
    </row>
    <row r="161" spans="2:14">
      <c r="B161" s="18" t="s">
        <v>126</v>
      </c>
      <c r="C161" s="19" t="s">
        <v>15</v>
      </c>
      <c r="D161" s="98">
        <v>261301</v>
      </c>
      <c r="E161" s="99" t="s">
        <v>339</v>
      </c>
      <c r="F161" s="407">
        <f>'Memória de cálculo'!H507</f>
        <v>733.56000000000006</v>
      </c>
      <c r="G161" s="19" t="s">
        <v>137</v>
      </c>
      <c r="H161" s="500"/>
      <c r="I161" s="500"/>
      <c r="J161" s="104">
        <f t="shared" si="9"/>
        <v>0</v>
      </c>
      <c r="K161" s="7"/>
    </row>
    <row r="162" spans="2:14">
      <c r="B162" s="18" t="s">
        <v>127</v>
      </c>
      <c r="C162" s="19" t="s">
        <v>15</v>
      </c>
      <c r="D162" s="98">
        <v>261548</v>
      </c>
      <c r="E162" s="99" t="s">
        <v>556</v>
      </c>
      <c r="F162" s="407">
        <f>'Memória de cálculo'!H509+'Memória de cálculo'!H510</f>
        <v>1472.7719999999999</v>
      </c>
      <c r="G162" s="19" t="s">
        <v>137</v>
      </c>
      <c r="H162" s="500"/>
      <c r="I162" s="500"/>
      <c r="J162" s="104">
        <f t="shared" si="9"/>
        <v>0</v>
      </c>
      <c r="K162" s="7"/>
    </row>
    <row r="163" spans="2:14">
      <c r="B163" s="18" t="s">
        <v>128</v>
      </c>
      <c r="C163" s="19" t="s">
        <v>15</v>
      </c>
      <c r="D163" s="98">
        <v>261560</v>
      </c>
      <c r="E163" s="99" t="s">
        <v>340</v>
      </c>
      <c r="F163" s="407">
        <f>'Memória de cálculo'!H512+'Memória de cálculo'!H513+'Memória de cálculo'!H514</f>
        <v>220.92000000000002</v>
      </c>
      <c r="G163" s="19" t="s">
        <v>137</v>
      </c>
      <c r="H163" s="500"/>
      <c r="I163" s="500"/>
      <c r="J163" s="104">
        <f t="shared" si="9"/>
        <v>0</v>
      </c>
      <c r="K163" s="7"/>
    </row>
    <row r="164" spans="2:14">
      <c r="B164" s="18" t="s">
        <v>129</v>
      </c>
      <c r="C164" s="19" t="s">
        <v>15</v>
      </c>
      <c r="D164" s="98">
        <v>261602</v>
      </c>
      <c r="E164" s="99" t="s">
        <v>341</v>
      </c>
      <c r="F164" s="407">
        <f>'Memória de cálculo'!H516+'Memória de cálculo'!H517+'Memória de cálculo'!H518+'Memória de cálculo'!H519+'Memória de cálculo'!H520+'Memória de cálculo'!H521+'Memória de cálculo'!H522</f>
        <v>95.61</v>
      </c>
      <c r="G164" s="19" t="s">
        <v>137</v>
      </c>
      <c r="H164" s="500"/>
      <c r="I164" s="500"/>
      <c r="J164" s="104">
        <f t="shared" si="9"/>
        <v>0</v>
      </c>
      <c r="K164" s="7"/>
    </row>
    <row r="165" spans="2:14">
      <c r="B165" s="18" t="s">
        <v>178</v>
      </c>
      <c r="C165" s="19" t="s">
        <v>15</v>
      </c>
      <c r="D165" s="98">
        <v>270501</v>
      </c>
      <c r="E165" s="99" t="s">
        <v>342</v>
      </c>
      <c r="F165" s="407">
        <f>'Memória de cálculo'!H524</f>
        <v>1031.95</v>
      </c>
      <c r="G165" s="19" t="s">
        <v>137</v>
      </c>
      <c r="H165" s="500"/>
      <c r="I165" s="500"/>
      <c r="J165" s="104">
        <f t="shared" si="9"/>
        <v>0</v>
      </c>
      <c r="K165" s="7"/>
    </row>
    <row r="166" spans="2:14">
      <c r="B166" s="18" t="s">
        <v>346</v>
      </c>
      <c r="C166" s="19" t="s">
        <v>15</v>
      </c>
      <c r="D166" s="98">
        <v>270810</v>
      </c>
      <c r="E166" s="99" t="s">
        <v>343</v>
      </c>
      <c r="F166" s="410">
        <f>'Memória de cálculo'!H526</f>
        <v>1</v>
      </c>
      <c r="G166" s="19" t="s">
        <v>147</v>
      </c>
      <c r="H166" s="500"/>
      <c r="I166" s="500"/>
      <c r="J166" s="104">
        <f t="shared" si="9"/>
        <v>0</v>
      </c>
      <c r="K166" s="7"/>
    </row>
    <row r="167" spans="2:14">
      <c r="B167" s="18" t="s">
        <v>347</v>
      </c>
      <c r="C167" s="19" t="s">
        <v>15</v>
      </c>
      <c r="D167" s="98">
        <v>271608</v>
      </c>
      <c r="E167" s="99" t="s">
        <v>344</v>
      </c>
      <c r="F167" s="407">
        <f>'Memória de cálculo'!H528+'Memória de cálculo'!H529+'Memória de cálculo'!H530+'Memória de cálculo'!H531+'Memória de cálculo'!H532+'Memória de cálculo'!H533+'Memória de cálculo'!H534+'Memória de cálculo'!H535</f>
        <v>9.51</v>
      </c>
      <c r="G167" s="19" t="s">
        <v>137</v>
      </c>
      <c r="H167" s="500"/>
      <c r="I167" s="500"/>
      <c r="J167" s="104">
        <f t="shared" si="9"/>
        <v>0</v>
      </c>
      <c r="K167" s="7"/>
    </row>
    <row r="168" spans="2:14" ht="60">
      <c r="B168" s="18" t="s">
        <v>348</v>
      </c>
      <c r="C168" s="19" t="s">
        <v>15</v>
      </c>
      <c r="D168" s="98">
        <v>271714</v>
      </c>
      <c r="E168" s="99" t="s">
        <v>345</v>
      </c>
      <c r="F168" s="407">
        <f>'Memória de cálculo'!H537</f>
        <v>18.16</v>
      </c>
      <c r="G168" s="19" t="s">
        <v>142</v>
      </c>
      <c r="H168" s="500"/>
      <c r="I168" s="500"/>
      <c r="J168" s="104">
        <f t="shared" si="9"/>
        <v>0</v>
      </c>
      <c r="K168" s="7"/>
    </row>
    <row r="169" spans="2:14" ht="15.95" customHeight="1" thickBot="1">
      <c r="B169" s="503" t="s">
        <v>14</v>
      </c>
      <c r="C169" s="504"/>
      <c r="D169" s="504"/>
      <c r="E169" s="504"/>
      <c r="F169" s="504"/>
      <c r="G169" s="504"/>
      <c r="H169" s="504"/>
      <c r="I169" s="505"/>
      <c r="J169" s="36">
        <f>SUM(J156:J168)</f>
        <v>0</v>
      </c>
      <c r="K169" s="20">
        <f>J169+(J169*I172)</f>
        <v>0</v>
      </c>
      <c r="L169" s="37"/>
      <c r="M169" s="37"/>
      <c r="N169" s="37"/>
    </row>
    <row r="170" spans="2:14" ht="12.95" customHeight="1" thickBot="1">
      <c r="B170" s="539" t="s">
        <v>16</v>
      </c>
      <c r="C170" s="540"/>
      <c r="D170" s="540"/>
      <c r="E170" s="540"/>
      <c r="F170" s="540"/>
      <c r="G170" s="540"/>
      <c r="H170" s="540"/>
      <c r="I170" s="540"/>
      <c r="J170" s="541"/>
      <c r="K170" s="9"/>
    </row>
    <row r="171" spans="2:14" ht="15.95" customHeight="1">
      <c r="B171" s="509" t="s">
        <v>6</v>
      </c>
      <c r="C171" s="510"/>
      <c r="D171" s="510"/>
      <c r="E171" s="510"/>
      <c r="F171" s="510"/>
      <c r="G171" s="510"/>
      <c r="H171" s="510"/>
      <c r="I171" s="511"/>
      <c r="J171" s="314">
        <f>J29+J32+J44+J66+J108+J114+J122+J134+J148+J154+J169</f>
        <v>0</v>
      </c>
      <c r="K171" s="20">
        <f>K29+K32+K44+K66+K108+K114+K122+K134+K148+K154+K169</f>
        <v>0</v>
      </c>
    </row>
    <row r="172" spans="2:14" ht="15.95" customHeight="1">
      <c r="B172" s="534" t="s">
        <v>28</v>
      </c>
      <c r="C172" s="535"/>
      <c r="D172" s="535"/>
      <c r="E172" s="535"/>
      <c r="F172" s="535"/>
      <c r="G172" s="535"/>
      <c r="H172" s="535"/>
      <c r="I172" s="315">
        <f>BDI!E18</f>
        <v>0.26648805240916773</v>
      </c>
      <c r="J172" s="316">
        <f>(J171*I172)</f>
        <v>0</v>
      </c>
      <c r="K172" s="10"/>
    </row>
    <row r="173" spans="2:14" ht="15.95" customHeight="1" thickBot="1">
      <c r="B173" s="536" t="s">
        <v>13</v>
      </c>
      <c r="C173" s="537"/>
      <c r="D173" s="537"/>
      <c r="E173" s="537"/>
      <c r="F173" s="537"/>
      <c r="G173" s="537"/>
      <c r="H173" s="537"/>
      <c r="I173" s="538"/>
      <c r="J173" s="317">
        <f>SUM(J171,J172)</f>
        <v>0</v>
      </c>
      <c r="K173" s="16"/>
      <c r="L173" s="103"/>
    </row>
    <row r="174" spans="2:14" ht="15.75" customHeight="1">
      <c r="B174" s="170"/>
      <c r="C174" s="171"/>
      <c r="D174" s="171"/>
      <c r="E174" s="172"/>
      <c r="F174" s="173"/>
      <c r="G174" s="171"/>
      <c r="H174" s="171"/>
      <c r="I174" s="171"/>
      <c r="J174" s="174"/>
      <c r="K174" s="21"/>
    </row>
    <row r="175" spans="2:14" ht="54.95" customHeight="1">
      <c r="B175" s="175"/>
      <c r="C175" s="11"/>
      <c r="D175" s="11"/>
      <c r="E175" s="12"/>
      <c r="F175" s="11"/>
      <c r="G175" s="11"/>
      <c r="H175" s="11"/>
      <c r="I175" s="11"/>
      <c r="J175" s="176"/>
      <c r="K175" s="21"/>
    </row>
    <row r="176" spans="2:14">
      <c r="B176" s="175"/>
      <c r="C176" s="11"/>
      <c r="D176" s="512" t="s">
        <v>23</v>
      </c>
      <c r="E176" s="512"/>
      <c r="F176" s="130" t="s">
        <v>23</v>
      </c>
      <c r="G176" s="130"/>
      <c r="H176" s="130"/>
      <c r="I176" s="130"/>
      <c r="J176" s="83"/>
      <c r="K176" s="21"/>
    </row>
    <row r="177" spans="2:11" ht="15">
      <c r="B177" s="175"/>
      <c r="C177" s="11"/>
      <c r="D177" s="542" t="s">
        <v>24</v>
      </c>
      <c r="E177" s="542"/>
      <c r="F177" s="542" t="s">
        <v>26</v>
      </c>
      <c r="G177" s="542"/>
      <c r="H177" s="542"/>
      <c r="I177" s="132"/>
      <c r="J177" s="82"/>
      <c r="K177" s="21"/>
    </row>
    <row r="178" spans="2:11" ht="15">
      <c r="B178" s="175"/>
      <c r="C178" s="11"/>
      <c r="D178" s="542" t="s">
        <v>25</v>
      </c>
      <c r="E178" s="542"/>
      <c r="F178" s="533" t="s">
        <v>27</v>
      </c>
      <c r="G178" s="533"/>
      <c r="H178" s="533"/>
      <c r="I178" s="131"/>
      <c r="J178" s="84"/>
      <c r="K178" s="21"/>
    </row>
    <row r="179" spans="2:11" ht="12.75" thickBot="1">
      <c r="B179" s="177"/>
      <c r="C179" s="178"/>
      <c r="D179" s="178"/>
      <c r="E179" s="179"/>
      <c r="F179" s="180"/>
      <c r="G179" s="178"/>
      <c r="H179" s="181"/>
      <c r="I179" s="181"/>
      <c r="J179" s="182"/>
      <c r="K179" s="21"/>
    </row>
    <row r="180" spans="2:11">
      <c r="K180" s="13"/>
    </row>
    <row r="181" spans="2:11">
      <c r="K181" s="13"/>
    </row>
    <row r="182" spans="2:11">
      <c r="K182" s="13"/>
    </row>
    <row r="183" spans="2:11">
      <c r="K183" s="13"/>
    </row>
    <row r="184" spans="2:11">
      <c r="K184" s="13"/>
    </row>
    <row r="185" spans="2:11">
      <c r="K185" s="13"/>
    </row>
    <row r="186" spans="2:11">
      <c r="K186" s="13"/>
    </row>
    <row r="187" spans="2:11">
      <c r="K187" s="13"/>
    </row>
    <row r="188" spans="2:11">
      <c r="K188" s="13"/>
    </row>
    <row r="189" spans="2:11">
      <c r="K189" s="13"/>
    </row>
    <row r="190" spans="2:11">
      <c r="K190" s="13"/>
    </row>
    <row r="191" spans="2:11">
      <c r="K191" s="13"/>
    </row>
    <row r="192" spans="2:11">
      <c r="K192" s="13"/>
    </row>
    <row r="193" spans="2:11">
      <c r="K193" s="13"/>
    </row>
    <row r="194" spans="2:11">
      <c r="B194" s="6"/>
      <c r="C194" s="6"/>
      <c r="D194" s="6"/>
      <c r="F194" s="6"/>
      <c r="G194" s="6"/>
      <c r="H194" s="6"/>
      <c r="I194" s="6"/>
      <c r="J194" s="28"/>
      <c r="K194" s="13"/>
    </row>
    <row r="195" spans="2:11">
      <c r="B195" s="6"/>
      <c r="C195" s="6"/>
      <c r="D195" s="6"/>
      <c r="F195" s="6"/>
      <c r="G195" s="6"/>
      <c r="H195" s="6"/>
      <c r="I195" s="6"/>
      <c r="J195" s="28"/>
      <c r="K195" s="13"/>
    </row>
    <row r="196" spans="2:11">
      <c r="B196" s="6"/>
      <c r="C196" s="6"/>
      <c r="D196" s="6"/>
      <c r="F196" s="6"/>
      <c r="G196" s="6"/>
      <c r="H196" s="6"/>
      <c r="I196" s="6"/>
      <c r="J196" s="28"/>
      <c r="K196" s="13"/>
    </row>
    <row r="197" spans="2:11">
      <c r="B197" s="6"/>
      <c r="C197" s="6"/>
      <c r="D197" s="6"/>
      <c r="F197" s="6"/>
      <c r="G197" s="6"/>
      <c r="H197" s="6"/>
      <c r="I197" s="6"/>
      <c r="J197" s="28"/>
      <c r="K197" s="13"/>
    </row>
    <row r="198" spans="2:11">
      <c r="B198" s="6"/>
      <c r="C198" s="6"/>
      <c r="D198" s="6"/>
      <c r="F198" s="6"/>
      <c r="G198" s="6"/>
      <c r="H198" s="6"/>
      <c r="I198" s="6"/>
      <c r="J198" s="28"/>
      <c r="K198" s="13"/>
    </row>
    <row r="199" spans="2:11">
      <c r="B199" s="6"/>
      <c r="C199" s="6"/>
      <c r="D199" s="6"/>
      <c r="F199" s="6"/>
      <c r="G199" s="6"/>
      <c r="H199" s="6"/>
      <c r="I199" s="6"/>
      <c r="J199" s="28"/>
      <c r="K199" s="13"/>
    </row>
    <row r="200" spans="2:11">
      <c r="B200" s="6"/>
      <c r="C200" s="6"/>
      <c r="D200" s="6"/>
      <c r="F200" s="6"/>
      <c r="G200" s="6"/>
      <c r="H200" s="6"/>
      <c r="I200" s="6"/>
      <c r="J200" s="28"/>
      <c r="K200" s="13"/>
    </row>
    <row r="201" spans="2:11">
      <c r="B201" s="6"/>
      <c r="C201" s="6"/>
      <c r="D201" s="6"/>
      <c r="F201" s="6"/>
      <c r="G201" s="6"/>
      <c r="H201" s="6"/>
      <c r="I201" s="6"/>
      <c r="J201" s="28"/>
      <c r="K201" s="13"/>
    </row>
    <row r="202" spans="2:11">
      <c r="B202" s="6"/>
      <c r="C202" s="6"/>
      <c r="D202" s="6"/>
      <c r="F202" s="6"/>
      <c r="G202" s="6"/>
      <c r="H202" s="6"/>
      <c r="I202" s="6"/>
      <c r="J202" s="28"/>
      <c r="K202" s="13"/>
    </row>
    <row r="203" spans="2:11">
      <c r="B203" s="6"/>
      <c r="C203" s="6"/>
      <c r="D203" s="6"/>
      <c r="F203" s="6"/>
      <c r="G203" s="6"/>
      <c r="H203" s="6"/>
      <c r="I203" s="6"/>
      <c r="J203" s="28"/>
      <c r="K203" s="13"/>
    </row>
    <row r="204" spans="2:11">
      <c r="B204" s="6"/>
      <c r="C204" s="6"/>
      <c r="D204" s="6"/>
      <c r="F204" s="6"/>
      <c r="G204" s="6"/>
      <c r="H204" s="6"/>
      <c r="I204" s="6"/>
      <c r="J204" s="28"/>
      <c r="K204" s="13"/>
    </row>
    <row r="205" spans="2:11">
      <c r="B205" s="6"/>
      <c r="C205" s="6"/>
      <c r="D205" s="6"/>
      <c r="F205" s="6"/>
      <c r="G205" s="6"/>
      <c r="H205" s="6"/>
      <c r="I205" s="6"/>
      <c r="J205" s="28"/>
      <c r="K205" s="13"/>
    </row>
    <row r="206" spans="2:11">
      <c r="B206" s="6"/>
      <c r="C206" s="6"/>
      <c r="D206" s="6"/>
      <c r="F206" s="6"/>
      <c r="G206" s="6"/>
      <c r="H206" s="6"/>
      <c r="I206" s="6"/>
      <c r="J206" s="28"/>
      <c r="K206" s="13"/>
    </row>
    <row r="207" spans="2:11">
      <c r="B207" s="6"/>
      <c r="C207" s="6"/>
      <c r="D207" s="6"/>
      <c r="F207" s="6"/>
      <c r="G207" s="6"/>
      <c r="H207" s="6"/>
      <c r="I207" s="6"/>
      <c r="J207" s="28"/>
      <c r="K207" s="13"/>
    </row>
    <row r="208" spans="2:11">
      <c r="B208" s="6"/>
      <c r="C208" s="6"/>
      <c r="D208" s="6"/>
      <c r="F208" s="6"/>
      <c r="G208" s="6"/>
      <c r="H208" s="6"/>
      <c r="I208" s="6"/>
      <c r="J208" s="28"/>
      <c r="K208" s="13"/>
    </row>
    <row r="209" spans="2:11">
      <c r="B209" s="6"/>
      <c r="C209" s="6"/>
      <c r="D209" s="6"/>
      <c r="F209" s="6"/>
      <c r="G209" s="6"/>
      <c r="H209" s="6"/>
      <c r="I209" s="6"/>
      <c r="J209" s="28"/>
      <c r="K209" s="13"/>
    </row>
    <row r="210" spans="2:11">
      <c r="B210" s="6"/>
      <c r="C210" s="6"/>
      <c r="D210" s="6"/>
      <c r="F210" s="6"/>
      <c r="G210" s="6"/>
      <c r="H210" s="6"/>
      <c r="I210" s="6"/>
      <c r="J210" s="28"/>
      <c r="K210" s="13"/>
    </row>
    <row r="211" spans="2:11">
      <c r="B211" s="6"/>
      <c r="C211" s="6"/>
      <c r="D211" s="6"/>
      <c r="F211" s="6"/>
      <c r="G211" s="6"/>
      <c r="H211" s="6"/>
      <c r="I211" s="6"/>
      <c r="J211" s="28"/>
      <c r="K211" s="13"/>
    </row>
    <row r="212" spans="2:11">
      <c r="B212" s="6"/>
      <c r="C212" s="6"/>
      <c r="D212" s="6"/>
      <c r="F212" s="6"/>
      <c r="G212" s="6"/>
      <c r="H212" s="6"/>
      <c r="I212" s="6"/>
      <c r="J212" s="28"/>
      <c r="K212" s="13"/>
    </row>
    <row r="213" spans="2:11">
      <c r="B213" s="6"/>
      <c r="C213" s="6"/>
      <c r="D213" s="6"/>
      <c r="F213" s="6"/>
      <c r="G213" s="6"/>
      <c r="H213" s="6"/>
      <c r="I213" s="6"/>
      <c r="J213" s="28"/>
      <c r="K213" s="13"/>
    </row>
    <row r="214" spans="2:11">
      <c r="B214" s="6"/>
      <c r="C214" s="6"/>
      <c r="D214" s="6"/>
      <c r="F214" s="6"/>
      <c r="G214" s="6"/>
      <c r="H214" s="6"/>
      <c r="I214" s="6"/>
      <c r="J214" s="28"/>
      <c r="K214" s="13"/>
    </row>
    <row r="215" spans="2:11">
      <c r="B215" s="6"/>
      <c r="C215" s="6"/>
      <c r="D215" s="6"/>
      <c r="F215" s="6"/>
      <c r="G215" s="6"/>
      <c r="H215" s="6"/>
      <c r="I215" s="6"/>
      <c r="J215" s="28"/>
      <c r="K215" s="13"/>
    </row>
    <row r="216" spans="2:11">
      <c r="B216" s="6"/>
      <c r="C216" s="6"/>
      <c r="D216" s="6"/>
      <c r="F216" s="6"/>
      <c r="G216" s="6"/>
      <c r="H216" s="6"/>
      <c r="I216" s="6"/>
      <c r="J216" s="28"/>
      <c r="K216" s="13"/>
    </row>
    <row r="217" spans="2:11">
      <c r="B217" s="6"/>
      <c r="C217" s="6"/>
      <c r="D217" s="6"/>
      <c r="F217" s="6"/>
      <c r="G217" s="6"/>
      <c r="H217" s="6"/>
      <c r="I217" s="6"/>
      <c r="J217" s="28"/>
      <c r="K217" s="13"/>
    </row>
    <row r="218" spans="2:11">
      <c r="B218" s="6"/>
      <c r="C218" s="6"/>
      <c r="D218" s="6"/>
      <c r="F218" s="6"/>
      <c r="G218" s="6"/>
      <c r="H218" s="6"/>
      <c r="I218" s="6"/>
      <c r="J218" s="28"/>
      <c r="K218" s="13"/>
    </row>
    <row r="219" spans="2:11">
      <c r="B219" s="6"/>
      <c r="C219" s="6"/>
      <c r="D219" s="6"/>
      <c r="F219" s="6"/>
      <c r="G219" s="6"/>
      <c r="H219" s="6"/>
      <c r="I219" s="6"/>
      <c r="J219" s="28"/>
      <c r="K219" s="13"/>
    </row>
    <row r="220" spans="2:11">
      <c r="B220" s="6"/>
      <c r="C220" s="6"/>
      <c r="D220" s="6"/>
      <c r="F220" s="6"/>
      <c r="G220" s="6"/>
      <c r="H220" s="6"/>
      <c r="I220" s="6"/>
      <c r="J220" s="28"/>
      <c r="K220" s="13"/>
    </row>
    <row r="221" spans="2:11">
      <c r="B221" s="6"/>
      <c r="C221" s="6"/>
      <c r="D221" s="6"/>
      <c r="F221" s="6"/>
      <c r="G221" s="6"/>
      <c r="H221" s="6"/>
      <c r="I221" s="6"/>
      <c r="J221" s="28"/>
      <c r="K221" s="13"/>
    </row>
    <row r="222" spans="2:11">
      <c r="B222" s="6"/>
      <c r="C222" s="6"/>
      <c r="D222" s="6"/>
      <c r="F222" s="6"/>
      <c r="G222" s="6"/>
      <c r="H222" s="6"/>
      <c r="I222" s="6"/>
      <c r="J222" s="28"/>
      <c r="K222" s="13"/>
    </row>
    <row r="223" spans="2:11">
      <c r="B223" s="6"/>
      <c r="C223" s="6"/>
      <c r="D223" s="6"/>
      <c r="F223" s="6"/>
      <c r="G223" s="6"/>
      <c r="H223" s="6"/>
      <c r="I223" s="6"/>
      <c r="J223" s="28"/>
      <c r="K223" s="13"/>
    </row>
    <row r="224" spans="2:11">
      <c r="B224" s="6"/>
      <c r="C224" s="6"/>
      <c r="D224" s="6"/>
      <c r="F224" s="6"/>
      <c r="G224" s="6"/>
      <c r="H224" s="6"/>
      <c r="I224" s="6"/>
      <c r="J224" s="28"/>
      <c r="K224" s="13"/>
    </row>
    <row r="225" spans="2:11">
      <c r="B225" s="6"/>
      <c r="C225" s="6"/>
      <c r="D225" s="6"/>
      <c r="F225" s="6"/>
      <c r="G225" s="6"/>
      <c r="H225" s="6"/>
      <c r="I225" s="6"/>
      <c r="J225" s="28"/>
      <c r="K225" s="13"/>
    </row>
    <row r="226" spans="2:11">
      <c r="B226" s="6"/>
      <c r="C226" s="6"/>
      <c r="D226" s="6"/>
      <c r="F226" s="6"/>
      <c r="G226" s="6"/>
      <c r="H226" s="6"/>
      <c r="I226" s="6"/>
      <c r="J226" s="28"/>
      <c r="K226" s="13"/>
    </row>
    <row r="227" spans="2:11">
      <c r="B227" s="6"/>
      <c r="C227" s="6"/>
      <c r="D227" s="6"/>
      <c r="F227" s="6"/>
      <c r="G227" s="6"/>
      <c r="H227" s="6"/>
      <c r="I227" s="6"/>
      <c r="J227" s="28"/>
      <c r="K227" s="13"/>
    </row>
    <row r="228" spans="2:11">
      <c r="B228" s="6"/>
      <c r="C228" s="6"/>
      <c r="D228" s="6"/>
      <c r="F228" s="6"/>
      <c r="G228" s="6"/>
      <c r="H228" s="6"/>
      <c r="I228" s="6"/>
      <c r="J228" s="28"/>
      <c r="K228" s="13"/>
    </row>
    <row r="229" spans="2:11">
      <c r="B229" s="6"/>
      <c r="C229" s="6"/>
      <c r="D229" s="6"/>
      <c r="F229" s="6"/>
      <c r="G229" s="6"/>
      <c r="H229" s="6"/>
      <c r="I229" s="6"/>
      <c r="J229" s="28"/>
      <c r="K229" s="13"/>
    </row>
    <row r="230" spans="2:11">
      <c r="B230" s="6"/>
      <c r="C230" s="6"/>
      <c r="D230" s="6"/>
      <c r="F230" s="6"/>
      <c r="G230" s="6"/>
      <c r="H230" s="6"/>
      <c r="I230" s="6"/>
      <c r="J230" s="28"/>
      <c r="K230" s="13"/>
    </row>
    <row r="231" spans="2:11">
      <c r="B231" s="6"/>
      <c r="C231" s="6"/>
      <c r="D231" s="6"/>
      <c r="F231" s="6"/>
      <c r="G231" s="6"/>
      <c r="H231" s="6"/>
      <c r="I231" s="6"/>
      <c r="J231" s="28"/>
      <c r="K231" s="13"/>
    </row>
    <row r="232" spans="2:11">
      <c r="B232" s="6"/>
      <c r="C232" s="6"/>
      <c r="D232" s="6"/>
      <c r="F232" s="6"/>
      <c r="G232" s="6"/>
      <c r="H232" s="6"/>
      <c r="I232" s="6"/>
      <c r="J232" s="28"/>
      <c r="K232" s="13"/>
    </row>
    <row r="233" spans="2:11">
      <c r="B233" s="6"/>
      <c r="C233" s="6"/>
      <c r="D233" s="6"/>
      <c r="F233" s="6"/>
      <c r="G233" s="6"/>
      <c r="H233" s="6"/>
      <c r="I233" s="6"/>
      <c r="J233" s="28"/>
      <c r="K233" s="13"/>
    </row>
    <row r="234" spans="2:11">
      <c r="B234" s="6"/>
      <c r="C234" s="6"/>
      <c r="D234" s="6"/>
      <c r="F234" s="6"/>
      <c r="G234" s="6"/>
      <c r="H234" s="6"/>
      <c r="I234" s="6"/>
      <c r="J234" s="28"/>
      <c r="K234" s="13"/>
    </row>
    <row r="235" spans="2:11">
      <c r="B235" s="6"/>
      <c r="C235" s="6"/>
      <c r="D235" s="6"/>
      <c r="F235" s="6"/>
      <c r="G235" s="6"/>
      <c r="H235" s="6"/>
      <c r="I235" s="6"/>
      <c r="J235" s="28"/>
      <c r="K235" s="13"/>
    </row>
    <row r="236" spans="2:11">
      <c r="B236" s="6"/>
      <c r="C236" s="6"/>
      <c r="D236" s="6"/>
      <c r="F236" s="6"/>
      <c r="G236" s="6"/>
      <c r="H236" s="6"/>
      <c r="I236" s="6"/>
      <c r="J236" s="28"/>
      <c r="K236" s="13"/>
    </row>
    <row r="237" spans="2:11">
      <c r="B237" s="6"/>
      <c r="C237" s="6"/>
      <c r="D237" s="6"/>
      <c r="F237" s="6"/>
      <c r="G237" s="6"/>
      <c r="H237" s="6"/>
      <c r="I237" s="6"/>
      <c r="J237" s="28"/>
      <c r="K237" s="13"/>
    </row>
    <row r="238" spans="2:11">
      <c r="B238" s="6"/>
      <c r="C238" s="6"/>
      <c r="D238" s="6"/>
      <c r="F238" s="6"/>
      <c r="G238" s="6"/>
      <c r="H238" s="6"/>
      <c r="I238" s="6"/>
      <c r="J238" s="28"/>
      <c r="K238" s="13"/>
    </row>
    <row r="239" spans="2:11">
      <c r="B239" s="6"/>
      <c r="C239" s="6"/>
      <c r="D239" s="6"/>
      <c r="F239" s="6"/>
      <c r="G239" s="6"/>
      <c r="H239" s="6"/>
      <c r="I239" s="6"/>
      <c r="J239" s="28"/>
      <c r="K239" s="13"/>
    </row>
    <row r="240" spans="2:11">
      <c r="B240" s="6"/>
      <c r="C240" s="6"/>
      <c r="D240" s="6"/>
      <c r="F240" s="6"/>
      <c r="G240" s="6"/>
      <c r="H240" s="6"/>
      <c r="I240" s="6"/>
      <c r="J240" s="28"/>
      <c r="K240" s="13"/>
    </row>
    <row r="241" spans="2:11">
      <c r="B241" s="6"/>
      <c r="C241" s="6"/>
      <c r="D241" s="6"/>
      <c r="F241" s="6"/>
      <c r="G241" s="6"/>
      <c r="H241" s="6"/>
      <c r="I241" s="6"/>
      <c r="J241" s="28"/>
      <c r="K241" s="13"/>
    </row>
    <row r="242" spans="2:11">
      <c r="B242" s="6"/>
      <c r="C242" s="6"/>
      <c r="D242" s="6"/>
      <c r="F242" s="6"/>
      <c r="G242" s="6"/>
      <c r="H242" s="6"/>
      <c r="I242" s="6"/>
      <c r="J242" s="28"/>
      <c r="K242" s="13"/>
    </row>
    <row r="243" spans="2:11">
      <c r="B243" s="6"/>
      <c r="C243" s="6"/>
      <c r="D243" s="6"/>
      <c r="F243" s="6"/>
      <c r="G243" s="6"/>
      <c r="H243" s="6"/>
      <c r="I243" s="6"/>
      <c r="J243" s="28"/>
      <c r="K243" s="13"/>
    </row>
    <row r="244" spans="2:11">
      <c r="B244" s="6"/>
      <c r="C244" s="6"/>
      <c r="D244" s="6"/>
      <c r="F244" s="6"/>
      <c r="G244" s="6"/>
      <c r="H244" s="6"/>
      <c r="I244" s="6"/>
      <c r="J244" s="28"/>
      <c r="K244" s="13"/>
    </row>
    <row r="245" spans="2:11">
      <c r="B245" s="6"/>
      <c r="C245" s="6"/>
      <c r="D245" s="6"/>
      <c r="F245" s="6"/>
      <c r="G245" s="6"/>
      <c r="H245" s="6"/>
      <c r="I245" s="6"/>
      <c r="J245" s="28"/>
      <c r="K245" s="13"/>
    </row>
    <row r="246" spans="2:11">
      <c r="B246" s="6"/>
      <c r="C246" s="6"/>
      <c r="D246" s="6"/>
      <c r="F246" s="6"/>
      <c r="G246" s="6"/>
      <c r="H246" s="6"/>
      <c r="I246" s="6"/>
      <c r="J246" s="28"/>
      <c r="K246" s="13"/>
    </row>
    <row r="247" spans="2:11">
      <c r="B247" s="6"/>
      <c r="C247" s="6"/>
      <c r="D247" s="6"/>
      <c r="F247" s="6"/>
      <c r="G247" s="6"/>
      <c r="H247" s="6"/>
      <c r="I247" s="6"/>
      <c r="J247" s="28"/>
      <c r="K247" s="13"/>
    </row>
    <row r="248" spans="2:11">
      <c r="B248" s="6"/>
      <c r="C248" s="6"/>
      <c r="D248" s="6"/>
      <c r="F248" s="6"/>
      <c r="G248" s="6"/>
      <c r="H248" s="6"/>
      <c r="I248" s="6"/>
      <c r="J248" s="28"/>
      <c r="K248" s="13"/>
    </row>
    <row r="249" spans="2:11">
      <c r="B249" s="6"/>
      <c r="C249" s="6"/>
      <c r="D249" s="6"/>
      <c r="F249" s="6"/>
      <c r="G249" s="6"/>
      <c r="H249" s="6"/>
      <c r="I249" s="6"/>
      <c r="J249" s="28"/>
      <c r="K249" s="13"/>
    </row>
    <row r="250" spans="2:11">
      <c r="B250" s="6"/>
      <c r="C250" s="6"/>
      <c r="D250" s="6"/>
      <c r="F250" s="6"/>
      <c r="G250" s="6"/>
      <c r="H250" s="6"/>
      <c r="I250" s="6"/>
      <c r="J250" s="28"/>
      <c r="K250" s="13"/>
    </row>
    <row r="251" spans="2:11">
      <c r="B251" s="6"/>
      <c r="C251" s="6"/>
      <c r="D251" s="6"/>
      <c r="F251" s="6"/>
      <c r="G251" s="6"/>
      <c r="H251" s="6"/>
      <c r="I251" s="6"/>
      <c r="J251" s="28"/>
      <c r="K251" s="13"/>
    </row>
    <row r="252" spans="2:11">
      <c r="B252" s="6"/>
      <c r="C252" s="6"/>
      <c r="D252" s="6"/>
      <c r="F252" s="6"/>
      <c r="G252" s="6"/>
      <c r="H252" s="6"/>
      <c r="I252" s="6"/>
      <c r="J252" s="28"/>
      <c r="K252" s="13"/>
    </row>
    <row r="253" spans="2:11">
      <c r="B253" s="6"/>
      <c r="C253" s="6"/>
      <c r="D253" s="6"/>
      <c r="F253" s="6"/>
      <c r="G253" s="6"/>
      <c r="H253" s="6"/>
      <c r="I253" s="6"/>
      <c r="J253" s="28"/>
      <c r="K253" s="13"/>
    </row>
    <row r="254" spans="2:11">
      <c r="B254" s="6"/>
      <c r="C254" s="6"/>
      <c r="D254" s="6"/>
      <c r="F254" s="6"/>
      <c r="G254" s="6"/>
      <c r="H254" s="6"/>
      <c r="I254" s="6"/>
      <c r="J254" s="28"/>
      <c r="K254" s="13"/>
    </row>
    <row r="255" spans="2:11">
      <c r="B255" s="6"/>
      <c r="C255" s="6"/>
      <c r="D255" s="6"/>
      <c r="F255" s="6"/>
      <c r="G255" s="6"/>
      <c r="H255" s="6"/>
      <c r="I255" s="6"/>
      <c r="J255" s="28"/>
      <c r="K255" s="13"/>
    </row>
    <row r="256" spans="2:11">
      <c r="B256" s="6"/>
      <c r="C256" s="6"/>
      <c r="D256" s="6"/>
      <c r="F256" s="6"/>
      <c r="G256" s="6"/>
      <c r="H256" s="6"/>
      <c r="I256" s="6"/>
      <c r="J256" s="28"/>
      <c r="K256" s="13"/>
    </row>
    <row r="257" spans="2:11">
      <c r="B257" s="6"/>
      <c r="C257" s="6"/>
      <c r="D257" s="6"/>
      <c r="F257" s="6"/>
      <c r="G257" s="6"/>
      <c r="H257" s="6"/>
      <c r="I257" s="6"/>
      <c r="J257" s="28"/>
      <c r="K257" s="13"/>
    </row>
    <row r="258" spans="2:11">
      <c r="B258" s="6"/>
      <c r="C258" s="6"/>
      <c r="D258" s="6"/>
      <c r="F258" s="6"/>
      <c r="G258" s="6"/>
      <c r="H258" s="6"/>
      <c r="I258" s="6"/>
      <c r="J258" s="28"/>
      <c r="K258" s="13"/>
    </row>
    <row r="259" spans="2:11">
      <c r="B259" s="6"/>
      <c r="C259" s="6"/>
      <c r="D259" s="6"/>
      <c r="F259" s="6"/>
      <c r="G259" s="6"/>
      <c r="H259" s="6"/>
      <c r="I259" s="6"/>
      <c r="J259" s="28"/>
      <c r="K259" s="13"/>
    </row>
    <row r="260" spans="2:11">
      <c r="B260" s="6"/>
      <c r="C260" s="6"/>
      <c r="D260" s="6"/>
      <c r="F260" s="6"/>
      <c r="G260" s="6"/>
      <c r="H260" s="6"/>
      <c r="I260" s="6"/>
      <c r="J260" s="28"/>
      <c r="K260" s="13"/>
    </row>
    <row r="261" spans="2:11">
      <c r="B261" s="6"/>
      <c r="C261" s="6"/>
      <c r="D261" s="6"/>
      <c r="F261" s="6"/>
      <c r="G261" s="6"/>
      <c r="H261" s="6"/>
      <c r="I261" s="6"/>
      <c r="J261" s="28"/>
      <c r="K261" s="13"/>
    </row>
    <row r="262" spans="2:11">
      <c r="B262" s="6"/>
      <c r="C262" s="6"/>
      <c r="D262" s="6"/>
      <c r="F262" s="6"/>
      <c r="G262" s="6"/>
      <c r="H262" s="6"/>
      <c r="I262" s="6"/>
      <c r="J262" s="28"/>
      <c r="K262" s="13"/>
    </row>
    <row r="263" spans="2:11">
      <c r="B263" s="6"/>
      <c r="C263" s="6"/>
      <c r="D263" s="6"/>
      <c r="F263" s="6"/>
      <c r="G263" s="6"/>
      <c r="H263" s="6"/>
      <c r="I263" s="6"/>
      <c r="J263" s="28"/>
      <c r="K263" s="13"/>
    </row>
    <row r="264" spans="2:11">
      <c r="B264" s="6"/>
      <c r="C264" s="6"/>
      <c r="D264" s="6"/>
      <c r="F264" s="6"/>
      <c r="G264" s="6"/>
      <c r="H264" s="6"/>
      <c r="I264" s="6"/>
      <c r="J264" s="28"/>
      <c r="K264" s="13"/>
    </row>
    <row r="265" spans="2:11">
      <c r="B265" s="6"/>
      <c r="C265" s="6"/>
      <c r="D265" s="6"/>
      <c r="F265" s="6"/>
      <c r="G265" s="6"/>
      <c r="H265" s="6"/>
      <c r="I265" s="6"/>
      <c r="J265" s="28"/>
      <c r="K265" s="13"/>
    </row>
    <row r="266" spans="2:11">
      <c r="B266" s="6"/>
      <c r="C266" s="6"/>
      <c r="D266" s="6"/>
      <c r="F266" s="6"/>
      <c r="G266" s="6"/>
      <c r="H266" s="6"/>
      <c r="I266" s="6"/>
      <c r="J266" s="28"/>
      <c r="K266" s="13"/>
    </row>
    <row r="267" spans="2:11">
      <c r="B267" s="6"/>
      <c r="C267" s="6"/>
      <c r="D267" s="6"/>
      <c r="F267" s="6"/>
      <c r="G267" s="6"/>
      <c r="H267" s="6"/>
      <c r="I267" s="6"/>
      <c r="J267" s="28"/>
      <c r="K267" s="13"/>
    </row>
    <row r="268" spans="2:11">
      <c r="B268" s="6"/>
      <c r="C268" s="6"/>
      <c r="D268" s="6"/>
      <c r="F268" s="6"/>
      <c r="G268" s="6"/>
      <c r="H268" s="6"/>
      <c r="I268" s="6"/>
      <c r="J268" s="28"/>
      <c r="K268" s="13"/>
    </row>
    <row r="269" spans="2:11">
      <c r="B269" s="6"/>
      <c r="C269" s="6"/>
      <c r="D269" s="6"/>
      <c r="F269" s="6"/>
      <c r="G269" s="6"/>
      <c r="H269" s="6"/>
      <c r="I269" s="6"/>
      <c r="J269" s="28"/>
      <c r="K269" s="13"/>
    </row>
    <row r="270" spans="2:11">
      <c r="B270" s="6"/>
      <c r="C270" s="6"/>
      <c r="D270" s="6"/>
      <c r="F270" s="6"/>
      <c r="G270" s="6"/>
      <c r="H270" s="6"/>
      <c r="I270" s="6"/>
      <c r="J270" s="28"/>
      <c r="K270" s="13"/>
    </row>
    <row r="271" spans="2:11">
      <c r="B271" s="6"/>
      <c r="C271" s="6"/>
      <c r="D271" s="6"/>
      <c r="F271" s="6"/>
      <c r="G271" s="6"/>
      <c r="H271" s="6"/>
      <c r="I271" s="6"/>
      <c r="J271" s="28"/>
      <c r="K271" s="13"/>
    </row>
    <row r="272" spans="2:11">
      <c r="B272" s="6"/>
      <c r="C272" s="6"/>
      <c r="D272" s="6"/>
      <c r="F272" s="6"/>
      <c r="G272" s="6"/>
      <c r="H272" s="6"/>
      <c r="I272" s="6"/>
      <c r="J272" s="28"/>
      <c r="K272" s="13"/>
    </row>
    <row r="273" spans="2:11">
      <c r="B273" s="6"/>
      <c r="C273" s="6"/>
      <c r="D273" s="6"/>
      <c r="F273" s="6"/>
      <c r="G273" s="6"/>
      <c r="H273" s="6"/>
      <c r="I273" s="6"/>
      <c r="J273" s="28"/>
      <c r="K273" s="13"/>
    </row>
    <row r="274" spans="2:11">
      <c r="B274" s="6"/>
      <c r="C274" s="6"/>
      <c r="D274" s="6"/>
      <c r="F274" s="6"/>
      <c r="G274" s="6"/>
      <c r="H274" s="6"/>
      <c r="I274" s="6"/>
      <c r="J274" s="28"/>
      <c r="K274" s="13"/>
    </row>
    <row r="275" spans="2:11">
      <c r="B275" s="6"/>
      <c r="C275" s="6"/>
      <c r="D275" s="6"/>
      <c r="F275" s="6"/>
      <c r="G275" s="6"/>
      <c r="H275" s="6"/>
      <c r="I275" s="6"/>
      <c r="J275" s="28"/>
      <c r="K275" s="13"/>
    </row>
    <row r="276" spans="2:11">
      <c r="B276" s="6"/>
      <c r="C276" s="6"/>
      <c r="D276" s="6"/>
      <c r="F276" s="6"/>
      <c r="G276" s="6"/>
      <c r="H276" s="6"/>
      <c r="I276" s="6"/>
      <c r="J276" s="28"/>
      <c r="K276" s="13"/>
    </row>
    <row r="277" spans="2:11">
      <c r="B277" s="6"/>
      <c r="C277" s="6"/>
      <c r="D277" s="6"/>
      <c r="F277" s="6"/>
      <c r="G277" s="6"/>
      <c r="H277" s="6"/>
      <c r="I277" s="6"/>
      <c r="J277" s="28"/>
      <c r="K277" s="13"/>
    </row>
    <row r="278" spans="2:11">
      <c r="B278" s="6"/>
      <c r="C278" s="6"/>
      <c r="D278" s="6"/>
      <c r="F278" s="6"/>
      <c r="G278" s="6"/>
      <c r="H278" s="6"/>
      <c r="I278" s="6"/>
      <c r="J278" s="28"/>
      <c r="K278" s="13"/>
    </row>
    <row r="279" spans="2:11">
      <c r="B279" s="6"/>
      <c r="C279" s="6"/>
      <c r="D279" s="6"/>
      <c r="F279" s="6"/>
      <c r="G279" s="6"/>
      <c r="H279" s="6"/>
      <c r="I279" s="6"/>
      <c r="J279" s="28"/>
      <c r="K279" s="13"/>
    </row>
    <row r="280" spans="2:11">
      <c r="B280" s="6"/>
      <c r="C280" s="6"/>
      <c r="D280" s="6"/>
      <c r="F280" s="6"/>
      <c r="G280" s="6"/>
      <c r="H280" s="6"/>
      <c r="I280" s="6"/>
      <c r="J280" s="28"/>
      <c r="K280" s="13"/>
    </row>
    <row r="281" spans="2:11">
      <c r="B281" s="6"/>
      <c r="C281" s="6"/>
      <c r="D281" s="6"/>
      <c r="F281" s="6"/>
      <c r="G281" s="6"/>
      <c r="H281" s="6"/>
      <c r="I281" s="6"/>
      <c r="J281" s="28"/>
      <c r="K281" s="13"/>
    </row>
    <row r="282" spans="2:11">
      <c r="B282" s="6"/>
      <c r="C282" s="6"/>
      <c r="D282" s="6"/>
      <c r="F282" s="6"/>
      <c r="G282" s="6"/>
      <c r="H282" s="6"/>
      <c r="I282" s="6"/>
      <c r="J282" s="28"/>
      <c r="K282" s="13"/>
    </row>
    <row r="283" spans="2:11">
      <c r="B283" s="6"/>
      <c r="C283" s="6"/>
      <c r="D283" s="6"/>
      <c r="F283" s="6"/>
      <c r="G283" s="6"/>
      <c r="H283" s="6"/>
      <c r="I283" s="6"/>
      <c r="J283" s="28"/>
      <c r="K283" s="13"/>
    </row>
    <row r="284" spans="2:11">
      <c r="B284" s="6"/>
      <c r="C284" s="6"/>
      <c r="D284" s="6"/>
      <c r="F284" s="6"/>
      <c r="G284" s="6"/>
      <c r="H284" s="6"/>
      <c r="I284" s="6"/>
      <c r="J284" s="28"/>
      <c r="K284" s="13"/>
    </row>
    <row r="285" spans="2:11">
      <c r="B285" s="6"/>
      <c r="C285" s="6"/>
      <c r="D285" s="6"/>
      <c r="F285" s="6"/>
      <c r="G285" s="6"/>
      <c r="H285" s="6"/>
      <c r="I285" s="6"/>
      <c r="J285" s="28"/>
      <c r="K285" s="13"/>
    </row>
    <row r="286" spans="2:11">
      <c r="B286" s="6"/>
      <c r="C286" s="6"/>
      <c r="D286" s="6"/>
      <c r="F286" s="6"/>
      <c r="G286" s="6"/>
      <c r="H286" s="6"/>
      <c r="I286" s="6"/>
      <c r="J286" s="28"/>
      <c r="K286" s="13"/>
    </row>
    <row r="287" spans="2:11">
      <c r="B287" s="6"/>
      <c r="C287" s="6"/>
      <c r="D287" s="6"/>
      <c r="F287" s="6"/>
      <c r="G287" s="6"/>
      <c r="H287" s="6"/>
      <c r="I287" s="6"/>
      <c r="J287" s="28"/>
      <c r="K287" s="13"/>
    </row>
    <row r="288" spans="2:11">
      <c r="B288" s="6"/>
      <c r="C288" s="6"/>
      <c r="D288" s="6"/>
      <c r="F288" s="6"/>
      <c r="G288" s="6"/>
      <c r="H288" s="6"/>
      <c r="I288" s="6"/>
      <c r="J288" s="28"/>
      <c r="K288" s="13"/>
    </row>
    <row r="289" spans="2:11">
      <c r="B289" s="6"/>
      <c r="C289" s="6"/>
      <c r="D289" s="6"/>
      <c r="F289" s="6"/>
      <c r="G289" s="6"/>
      <c r="H289" s="6"/>
      <c r="I289" s="6"/>
      <c r="J289" s="28"/>
      <c r="K289" s="13"/>
    </row>
    <row r="290" spans="2:11">
      <c r="B290" s="6"/>
      <c r="C290" s="6"/>
      <c r="D290" s="6"/>
      <c r="F290" s="6"/>
      <c r="G290" s="6"/>
      <c r="H290" s="6"/>
      <c r="I290" s="6"/>
      <c r="J290" s="28"/>
      <c r="K290" s="13"/>
    </row>
    <row r="291" spans="2:11">
      <c r="B291" s="6"/>
      <c r="C291" s="6"/>
      <c r="D291" s="6"/>
      <c r="F291" s="6"/>
      <c r="G291" s="6"/>
      <c r="H291" s="6"/>
      <c r="I291" s="6"/>
      <c r="J291" s="28"/>
      <c r="K291" s="13"/>
    </row>
    <row r="292" spans="2:11">
      <c r="B292" s="6"/>
      <c r="C292" s="6"/>
      <c r="D292" s="6"/>
      <c r="F292" s="6"/>
      <c r="G292" s="6"/>
      <c r="H292" s="6"/>
      <c r="I292" s="6"/>
      <c r="J292" s="28"/>
      <c r="K292" s="13"/>
    </row>
    <row r="293" spans="2:11">
      <c r="B293" s="6"/>
      <c r="C293" s="6"/>
      <c r="D293" s="6"/>
      <c r="F293" s="6"/>
      <c r="G293" s="6"/>
      <c r="H293" s="6"/>
      <c r="I293" s="6"/>
      <c r="J293" s="28"/>
      <c r="K293" s="13"/>
    </row>
    <row r="294" spans="2:11">
      <c r="B294" s="6"/>
      <c r="C294" s="6"/>
      <c r="D294" s="6"/>
      <c r="F294" s="6"/>
      <c r="G294" s="6"/>
      <c r="H294" s="6"/>
      <c r="I294" s="6"/>
      <c r="J294" s="28"/>
      <c r="K294" s="13"/>
    </row>
    <row r="295" spans="2:11">
      <c r="B295" s="6"/>
      <c r="C295" s="6"/>
      <c r="D295" s="6"/>
      <c r="F295" s="6"/>
      <c r="G295" s="6"/>
      <c r="H295" s="6"/>
      <c r="I295" s="6"/>
      <c r="J295" s="28"/>
      <c r="K295" s="13"/>
    </row>
    <row r="296" spans="2:11">
      <c r="B296" s="6"/>
      <c r="C296" s="6"/>
      <c r="D296" s="6"/>
      <c r="F296" s="6"/>
      <c r="G296" s="6"/>
      <c r="H296" s="6"/>
      <c r="I296" s="6"/>
      <c r="J296" s="28"/>
      <c r="K296" s="13"/>
    </row>
    <row r="297" spans="2:11">
      <c r="B297" s="6"/>
      <c r="C297" s="6"/>
      <c r="D297" s="6"/>
      <c r="F297" s="6"/>
      <c r="G297" s="6"/>
      <c r="H297" s="6"/>
      <c r="I297" s="6"/>
      <c r="J297" s="28"/>
      <c r="K297" s="13"/>
    </row>
    <row r="298" spans="2:11">
      <c r="B298" s="6"/>
      <c r="C298" s="6"/>
      <c r="D298" s="6"/>
      <c r="F298" s="6"/>
      <c r="G298" s="6"/>
      <c r="H298" s="6"/>
      <c r="I298" s="6"/>
      <c r="J298" s="28"/>
      <c r="K298" s="13"/>
    </row>
    <row r="299" spans="2:11">
      <c r="B299" s="6"/>
      <c r="C299" s="6"/>
      <c r="D299" s="6"/>
      <c r="F299" s="6"/>
      <c r="G299" s="6"/>
      <c r="H299" s="6"/>
      <c r="I299" s="6"/>
      <c r="J299" s="28"/>
      <c r="K299" s="13"/>
    </row>
    <row r="300" spans="2:11">
      <c r="B300" s="6"/>
      <c r="C300" s="6"/>
      <c r="D300" s="6"/>
      <c r="F300" s="6"/>
      <c r="G300" s="6"/>
      <c r="H300" s="6"/>
      <c r="I300" s="6"/>
      <c r="J300" s="28"/>
      <c r="K300" s="13"/>
    </row>
    <row r="301" spans="2:11">
      <c r="B301" s="6"/>
      <c r="C301" s="6"/>
      <c r="D301" s="6"/>
      <c r="F301" s="6"/>
      <c r="G301" s="6"/>
      <c r="H301" s="6"/>
      <c r="I301" s="6"/>
      <c r="J301" s="28"/>
      <c r="K301" s="13"/>
    </row>
    <row r="302" spans="2:11">
      <c r="B302" s="6"/>
      <c r="C302" s="6"/>
      <c r="D302" s="6"/>
      <c r="F302" s="6"/>
      <c r="G302" s="6"/>
      <c r="H302" s="6"/>
      <c r="I302" s="6"/>
      <c r="J302" s="28"/>
      <c r="K302" s="13"/>
    </row>
    <row r="303" spans="2:11">
      <c r="B303" s="6"/>
      <c r="C303" s="6"/>
      <c r="D303" s="6"/>
      <c r="F303" s="6"/>
      <c r="G303" s="6"/>
      <c r="H303" s="6"/>
      <c r="I303" s="6"/>
      <c r="J303" s="28"/>
      <c r="K303" s="13"/>
    </row>
    <row r="304" spans="2:11">
      <c r="B304" s="6"/>
      <c r="C304" s="6"/>
      <c r="D304" s="6"/>
      <c r="F304" s="6"/>
      <c r="G304" s="6"/>
      <c r="H304" s="6"/>
      <c r="I304" s="6"/>
      <c r="J304" s="28"/>
      <c r="K304" s="13"/>
    </row>
    <row r="305" spans="2:11">
      <c r="B305" s="6"/>
      <c r="C305" s="6"/>
      <c r="D305" s="6"/>
      <c r="F305" s="6"/>
      <c r="G305" s="6"/>
      <c r="H305" s="6"/>
      <c r="I305" s="6"/>
      <c r="J305" s="28"/>
      <c r="K305" s="13"/>
    </row>
    <row r="306" spans="2:11">
      <c r="B306" s="6"/>
      <c r="C306" s="6"/>
      <c r="D306" s="6"/>
      <c r="F306" s="6"/>
      <c r="G306" s="6"/>
      <c r="H306" s="6"/>
      <c r="I306" s="6"/>
      <c r="J306" s="28"/>
      <c r="K306" s="13"/>
    </row>
    <row r="307" spans="2:11">
      <c r="B307" s="6"/>
      <c r="C307" s="6"/>
      <c r="D307" s="6"/>
      <c r="F307" s="6"/>
      <c r="G307" s="6"/>
      <c r="H307" s="6"/>
      <c r="I307" s="6"/>
      <c r="J307" s="28"/>
      <c r="K307" s="13"/>
    </row>
    <row r="308" spans="2:11">
      <c r="B308" s="6"/>
      <c r="C308" s="6"/>
      <c r="D308" s="6"/>
      <c r="F308" s="6"/>
      <c r="G308" s="6"/>
      <c r="H308" s="6"/>
      <c r="I308" s="6"/>
      <c r="J308" s="28"/>
      <c r="K308" s="13"/>
    </row>
    <row r="309" spans="2:11">
      <c r="B309" s="6"/>
      <c r="C309" s="6"/>
      <c r="D309" s="6"/>
      <c r="F309" s="6"/>
      <c r="G309" s="6"/>
      <c r="H309" s="6"/>
      <c r="I309" s="6"/>
      <c r="J309" s="28"/>
      <c r="K309" s="13"/>
    </row>
    <row r="310" spans="2:11">
      <c r="B310" s="6"/>
      <c r="C310" s="6"/>
      <c r="D310" s="6"/>
      <c r="F310" s="6"/>
      <c r="G310" s="6"/>
      <c r="H310" s="6"/>
      <c r="I310" s="6"/>
      <c r="J310" s="28"/>
      <c r="K310" s="13"/>
    </row>
    <row r="311" spans="2:11">
      <c r="B311" s="6"/>
      <c r="C311" s="6"/>
      <c r="D311" s="6"/>
      <c r="F311" s="6"/>
      <c r="G311" s="6"/>
      <c r="H311" s="6"/>
      <c r="I311" s="6"/>
      <c r="J311" s="28"/>
      <c r="K311" s="13"/>
    </row>
    <row r="312" spans="2:11">
      <c r="B312" s="6"/>
      <c r="C312" s="6"/>
      <c r="D312" s="6"/>
      <c r="F312" s="6"/>
      <c r="G312" s="6"/>
      <c r="H312" s="6"/>
      <c r="I312" s="6"/>
      <c r="J312" s="28"/>
      <c r="K312" s="13"/>
    </row>
    <row r="313" spans="2:11">
      <c r="B313" s="6"/>
      <c r="C313" s="6"/>
      <c r="D313" s="6"/>
      <c r="F313" s="6"/>
      <c r="G313" s="6"/>
      <c r="H313" s="6"/>
      <c r="I313" s="6"/>
      <c r="J313" s="28"/>
      <c r="K313" s="13"/>
    </row>
    <row r="314" spans="2:11">
      <c r="B314" s="6"/>
      <c r="C314" s="6"/>
      <c r="D314" s="6"/>
      <c r="F314" s="6"/>
      <c r="G314" s="6"/>
      <c r="H314" s="6"/>
      <c r="I314" s="6"/>
      <c r="J314" s="28"/>
      <c r="K314" s="13"/>
    </row>
    <row r="315" spans="2:11">
      <c r="B315" s="6"/>
      <c r="C315" s="6"/>
      <c r="D315" s="6"/>
      <c r="F315" s="6"/>
      <c r="G315" s="6"/>
      <c r="H315" s="6"/>
      <c r="I315" s="6"/>
      <c r="J315" s="28"/>
      <c r="K315" s="13"/>
    </row>
    <row r="316" spans="2:11">
      <c r="B316" s="6"/>
      <c r="C316" s="6"/>
      <c r="D316" s="6"/>
      <c r="F316" s="6"/>
      <c r="G316" s="6"/>
      <c r="H316" s="6"/>
      <c r="I316" s="6"/>
      <c r="J316" s="28"/>
      <c r="K316" s="13"/>
    </row>
    <row r="317" spans="2:11">
      <c r="B317" s="6"/>
      <c r="C317" s="6"/>
      <c r="D317" s="6"/>
      <c r="F317" s="6"/>
      <c r="G317" s="6"/>
      <c r="H317" s="6"/>
      <c r="I317" s="6"/>
      <c r="J317" s="28"/>
      <c r="K317" s="13"/>
    </row>
    <row r="318" spans="2:11">
      <c r="B318" s="6"/>
      <c r="C318" s="6"/>
      <c r="D318" s="6"/>
      <c r="F318" s="6"/>
      <c r="G318" s="6"/>
      <c r="H318" s="6"/>
      <c r="I318" s="6"/>
      <c r="J318" s="28"/>
      <c r="K318" s="13"/>
    </row>
    <row r="319" spans="2:11">
      <c r="B319" s="6"/>
      <c r="C319" s="6"/>
      <c r="D319" s="6"/>
      <c r="F319" s="6"/>
      <c r="G319" s="6"/>
      <c r="H319" s="6"/>
      <c r="I319" s="6"/>
      <c r="J319" s="28"/>
      <c r="K319" s="13"/>
    </row>
    <row r="320" spans="2:11">
      <c r="B320" s="6"/>
      <c r="C320" s="6"/>
      <c r="D320" s="6"/>
      <c r="F320" s="6"/>
      <c r="G320" s="6"/>
      <c r="H320" s="6"/>
      <c r="I320" s="6"/>
      <c r="J320" s="28"/>
      <c r="K320" s="13"/>
    </row>
    <row r="321" spans="2:11">
      <c r="B321" s="6"/>
      <c r="C321" s="6"/>
      <c r="D321" s="6"/>
      <c r="F321" s="6"/>
      <c r="G321" s="6"/>
      <c r="H321" s="6"/>
      <c r="I321" s="6"/>
      <c r="J321" s="28"/>
      <c r="K321" s="13"/>
    </row>
    <row r="322" spans="2:11">
      <c r="B322" s="6"/>
      <c r="C322" s="6"/>
      <c r="D322" s="6"/>
      <c r="F322" s="6"/>
      <c r="G322" s="6"/>
      <c r="H322" s="6"/>
      <c r="I322" s="6"/>
      <c r="J322" s="28"/>
      <c r="K322" s="13"/>
    </row>
    <row r="323" spans="2:11">
      <c r="B323" s="6"/>
      <c r="C323" s="6"/>
      <c r="D323" s="6"/>
      <c r="F323" s="6"/>
      <c r="G323" s="6"/>
      <c r="H323" s="6"/>
      <c r="I323" s="6"/>
      <c r="J323" s="28"/>
      <c r="K323" s="13"/>
    </row>
    <row r="324" spans="2:11">
      <c r="B324" s="6"/>
      <c r="C324" s="6"/>
      <c r="D324" s="6"/>
      <c r="F324" s="6"/>
      <c r="G324" s="6"/>
      <c r="H324" s="6"/>
      <c r="I324" s="6"/>
      <c r="J324" s="28"/>
      <c r="K324" s="13"/>
    </row>
    <row r="325" spans="2:11">
      <c r="B325" s="6"/>
      <c r="C325" s="6"/>
      <c r="D325" s="6"/>
      <c r="F325" s="6"/>
      <c r="G325" s="6"/>
      <c r="H325" s="6"/>
      <c r="I325" s="6"/>
      <c r="J325" s="28"/>
      <c r="K325" s="13"/>
    </row>
    <row r="326" spans="2:11">
      <c r="B326" s="6"/>
      <c r="C326" s="6"/>
      <c r="D326" s="6"/>
      <c r="F326" s="6"/>
      <c r="G326" s="6"/>
      <c r="H326" s="6"/>
      <c r="I326" s="6"/>
      <c r="J326" s="28"/>
      <c r="K326" s="13"/>
    </row>
    <row r="327" spans="2:11">
      <c r="B327" s="6"/>
      <c r="C327" s="6"/>
      <c r="D327" s="6"/>
      <c r="F327" s="6"/>
      <c r="G327" s="6"/>
      <c r="H327" s="6"/>
      <c r="I327" s="6"/>
      <c r="J327" s="28"/>
      <c r="K327" s="13"/>
    </row>
    <row r="328" spans="2:11">
      <c r="B328" s="6"/>
      <c r="C328" s="6"/>
      <c r="D328" s="6"/>
      <c r="F328" s="6"/>
      <c r="G328" s="6"/>
      <c r="H328" s="6"/>
      <c r="I328" s="6"/>
      <c r="J328" s="28"/>
      <c r="K328" s="13"/>
    </row>
    <row r="329" spans="2:11">
      <c r="B329" s="6"/>
      <c r="C329" s="6"/>
      <c r="D329" s="6"/>
      <c r="F329" s="6"/>
      <c r="G329" s="6"/>
      <c r="H329" s="6"/>
      <c r="I329" s="6"/>
      <c r="J329" s="28"/>
      <c r="K329" s="13"/>
    </row>
    <row r="330" spans="2:11">
      <c r="B330" s="6"/>
      <c r="C330" s="6"/>
      <c r="D330" s="6"/>
      <c r="F330" s="6"/>
      <c r="G330" s="6"/>
      <c r="H330" s="6"/>
      <c r="I330" s="6"/>
      <c r="J330" s="28"/>
      <c r="K330" s="13"/>
    </row>
    <row r="331" spans="2:11">
      <c r="B331" s="6"/>
      <c r="C331" s="6"/>
      <c r="D331" s="6"/>
      <c r="F331" s="6"/>
      <c r="G331" s="6"/>
      <c r="H331" s="6"/>
      <c r="I331" s="6"/>
      <c r="J331" s="28"/>
      <c r="K331" s="13"/>
    </row>
    <row r="332" spans="2:11">
      <c r="B332" s="6"/>
      <c r="C332" s="6"/>
      <c r="D332" s="6"/>
      <c r="F332" s="6"/>
      <c r="G332" s="6"/>
      <c r="H332" s="6"/>
      <c r="I332" s="6"/>
      <c r="J332" s="28"/>
      <c r="K332" s="13"/>
    </row>
    <row r="333" spans="2:11">
      <c r="B333" s="6"/>
      <c r="C333" s="6"/>
      <c r="D333" s="6"/>
      <c r="F333" s="6"/>
      <c r="G333" s="6"/>
      <c r="H333" s="6"/>
      <c r="I333" s="6"/>
      <c r="J333" s="28"/>
      <c r="K333" s="13"/>
    </row>
    <row r="334" spans="2:11">
      <c r="B334" s="6"/>
      <c r="C334" s="6"/>
      <c r="D334" s="6"/>
      <c r="F334" s="6"/>
      <c r="G334" s="6"/>
      <c r="H334" s="6"/>
      <c r="I334" s="6"/>
      <c r="J334" s="28"/>
      <c r="K334" s="13"/>
    </row>
    <row r="335" spans="2:11">
      <c r="B335" s="6"/>
      <c r="C335" s="6"/>
      <c r="D335" s="6"/>
      <c r="F335" s="6"/>
      <c r="G335" s="6"/>
      <c r="H335" s="6"/>
      <c r="I335" s="6"/>
      <c r="J335" s="28"/>
      <c r="K335" s="13"/>
    </row>
  </sheetData>
  <sheetProtection password="D9E0" sheet="1" objects="1" scenarios="1"/>
  <mergeCells count="40">
    <mergeCell ref="B123:J123"/>
    <mergeCell ref="B134:I134"/>
    <mergeCell ref="B135:J135"/>
    <mergeCell ref="B148:I148"/>
    <mergeCell ref="F177:H177"/>
    <mergeCell ref="B149:J149"/>
    <mergeCell ref="B154:I154"/>
    <mergeCell ref="B155:J155"/>
    <mergeCell ref="B169:I169"/>
    <mergeCell ref="F178:H178"/>
    <mergeCell ref="B172:H172"/>
    <mergeCell ref="B173:I173"/>
    <mergeCell ref="B170:J170"/>
    <mergeCell ref="D177:E177"/>
    <mergeCell ref="D178:E178"/>
    <mergeCell ref="B3:J3"/>
    <mergeCell ref="B4:J4"/>
    <mergeCell ref="B2:J2"/>
    <mergeCell ref="C10:D10"/>
    <mergeCell ref="B8:J8"/>
    <mergeCell ref="B6:J6"/>
    <mergeCell ref="B9:J9"/>
    <mergeCell ref="B5:J5"/>
    <mergeCell ref="B7:J7"/>
    <mergeCell ref="B44:I44"/>
    <mergeCell ref="B11:J11"/>
    <mergeCell ref="B171:I171"/>
    <mergeCell ref="D176:E176"/>
    <mergeCell ref="B32:I32"/>
    <mergeCell ref="B29:I29"/>
    <mergeCell ref="B30:J30"/>
    <mergeCell ref="B33:J33"/>
    <mergeCell ref="B45:J45"/>
    <mergeCell ref="B66:I66"/>
    <mergeCell ref="B67:J67"/>
    <mergeCell ref="B108:I108"/>
    <mergeCell ref="B109:J109"/>
    <mergeCell ref="B114:I114"/>
    <mergeCell ref="B115:J115"/>
    <mergeCell ref="B122:I122"/>
  </mergeCells>
  <phoneticPr fontId="44" type="noConversion"/>
  <printOptions horizontalCentered="1" verticalCentered="1"/>
  <pageMargins left="0.2" right="0.2" top="0.19685039370078741" bottom="0.19685039370078741" header="0.30000000000000004" footer="0.30000000000000004"/>
  <pageSetup paperSize="9" scale="62" fitToHeight="2" orientation="portrait" r:id="rId1"/>
  <rowBreaks count="2" manualBreakCount="2">
    <brk id="167" max="16383" man="1"/>
    <brk id="178" max="16383" man="1"/>
  </rowBreaks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43"/>
  <sheetViews>
    <sheetView showGridLines="0" topLeftCell="A65" zoomScale="101" zoomScaleSheetLayoutView="80" workbookViewId="0">
      <selection activeCell="H95" sqref="H95"/>
    </sheetView>
  </sheetViews>
  <sheetFormatPr defaultColWidth="8.85546875" defaultRowHeight="12.75"/>
  <cols>
    <col min="1" max="1" width="8.85546875" style="199"/>
    <col min="2" max="2" width="8.28515625" style="199" bestFit="1" customWidth="1"/>
    <col min="3" max="3" width="78.42578125" style="200" customWidth="1"/>
    <col min="4" max="4" width="11.140625" style="4" customWidth="1"/>
    <col min="5" max="5" width="14.85546875" style="4" customWidth="1"/>
    <col min="6" max="6" width="12.85546875" style="5" customWidth="1"/>
    <col min="7" max="7" width="13.140625" style="4" customWidth="1"/>
    <col min="8" max="8" width="11.140625" style="4" customWidth="1"/>
    <col min="9" max="16384" width="8.85546875" style="199"/>
  </cols>
  <sheetData>
    <row r="1" spans="2:8" ht="13.5" thickBot="1"/>
    <row r="2" spans="2:8" ht="21">
      <c r="B2" s="652" t="s">
        <v>0</v>
      </c>
      <c r="C2" s="653"/>
      <c r="D2" s="653"/>
      <c r="E2" s="653"/>
      <c r="F2" s="653"/>
      <c r="G2" s="653"/>
      <c r="H2" s="654"/>
    </row>
    <row r="3" spans="2:8" ht="18.75">
      <c r="B3" s="655" t="s">
        <v>1</v>
      </c>
      <c r="C3" s="656"/>
      <c r="D3" s="656"/>
      <c r="E3" s="656"/>
      <c r="F3" s="656"/>
      <c r="G3" s="656"/>
      <c r="H3" s="657"/>
    </row>
    <row r="4" spans="2:8" ht="21">
      <c r="B4" s="658" t="s">
        <v>131</v>
      </c>
      <c r="C4" s="659"/>
      <c r="D4" s="659"/>
      <c r="E4" s="659"/>
      <c r="F4" s="659"/>
      <c r="G4" s="659"/>
      <c r="H4" s="660"/>
    </row>
    <row r="5" spans="2:8" ht="15.75">
      <c r="B5" s="201"/>
      <c r="C5" s="514" t="str">
        <f>Orçamento!B5</f>
        <v>REFORMA HOSPITAL MATERNO INFANTIL</v>
      </c>
      <c r="D5" s="514"/>
      <c r="E5" s="514"/>
      <c r="F5" s="514"/>
      <c r="G5" s="514"/>
      <c r="H5" s="515"/>
    </row>
    <row r="6" spans="2:8" ht="15.75">
      <c r="B6" s="661" t="str">
        <f>Orçamento!B8</f>
        <v>01 de Março de 2019</v>
      </c>
      <c r="C6" s="662"/>
      <c r="D6" s="662"/>
      <c r="E6" s="662"/>
      <c r="F6" s="662"/>
      <c r="G6" s="662"/>
      <c r="H6" s="663"/>
    </row>
    <row r="7" spans="2:8">
      <c r="B7" s="664" t="str">
        <f>Orçamento!B6</f>
        <v>AGETOP - Tabela 133 - Custo Obras Civis - Dezembro/2018 - Desonerada</v>
      </c>
      <c r="C7" s="665"/>
      <c r="D7" s="665"/>
      <c r="E7" s="665"/>
      <c r="F7" s="665"/>
      <c r="G7" s="665"/>
      <c r="H7" s="666"/>
    </row>
    <row r="8" spans="2:8" ht="11.25" customHeight="1" thickBot="1">
      <c r="B8" s="667" t="str">
        <f>Orçamento!B7</f>
        <v>AGETOP (I) - Tabela 133 - Custo Mão de obra - Dezembro/2018 - Desonerada</v>
      </c>
      <c r="C8" s="668"/>
      <c r="D8" s="668"/>
      <c r="E8" s="668"/>
      <c r="F8" s="668"/>
      <c r="G8" s="668"/>
      <c r="H8" s="669"/>
    </row>
    <row r="9" spans="2:8" ht="21" customHeight="1" thickBot="1">
      <c r="B9" s="80" t="s">
        <v>2</v>
      </c>
      <c r="C9" s="81" t="s">
        <v>3</v>
      </c>
      <c r="D9" s="79" t="s">
        <v>4</v>
      </c>
      <c r="E9" s="670" t="s">
        <v>5</v>
      </c>
      <c r="F9" s="671"/>
      <c r="G9" s="671"/>
      <c r="H9" s="672"/>
    </row>
    <row r="10" spans="2:8" ht="13.5" thickBot="1">
      <c r="B10" s="649" t="str">
        <f>Orçamento!B11</f>
        <v>SERVIÇOS PRELIMINARES</v>
      </c>
      <c r="C10" s="650"/>
      <c r="D10" s="650"/>
      <c r="E10" s="650"/>
      <c r="F10" s="650"/>
      <c r="G10" s="650"/>
      <c r="H10" s="651"/>
    </row>
    <row r="11" spans="2:8" ht="15" customHeight="1">
      <c r="B11" s="601" t="str">
        <f>Orçamento!B12</f>
        <v>1.1</v>
      </c>
      <c r="C11" s="51" t="str">
        <f>Orçamento!E12</f>
        <v>RETIRADA DE JANELAS OU PORTAIS C/ TRANSP. ATÉ CB. E CARGA</v>
      </c>
      <c r="D11" s="52" t="str">
        <f>Orçamento!G12</f>
        <v>m2</v>
      </c>
      <c r="E11" s="576"/>
      <c r="F11" s="577"/>
      <c r="G11" s="594"/>
      <c r="H11" s="351" t="s">
        <v>6</v>
      </c>
    </row>
    <row r="12" spans="2:8" ht="29.1" customHeight="1">
      <c r="B12" s="600"/>
      <c r="C12" s="269" t="s">
        <v>362</v>
      </c>
      <c r="D12" s="633" t="s">
        <v>351</v>
      </c>
      <c r="E12" s="634"/>
      <c r="F12" s="634"/>
      <c r="G12" s="635"/>
      <c r="H12" s="352">
        <v>11.52</v>
      </c>
    </row>
    <row r="13" spans="2:8" ht="15">
      <c r="B13" s="600"/>
      <c r="C13" s="268" t="s">
        <v>363</v>
      </c>
      <c r="D13" s="609" t="s">
        <v>352</v>
      </c>
      <c r="E13" s="610"/>
      <c r="F13" s="610"/>
      <c r="G13" s="611"/>
      <c r="H13" s="352">
        <v>1.89</v>
      </c>
    </row>
    <row r="14" spans="2:8" ht="15">
      <c r="B14" s="600"/>
      <c r="C14" s="267" t="s">
        <v>364</v>
      </c>
      <c r="D14" s="609" t="s">
        <v>353</v>
      </c>
      <c r="E14" s="610"/>
      <c r="F14" s="610"/>
      <c r="G14" s="611"/>
      <c r="H14" s="352">
        <v>2.79</v>
      </c>
    </row>
    <row r="15" spans="2:8" ht="15">
      <c r="B15" s="600"/>
      <c r="C15" s="271" t="s">
        <v>365</v>
      </c>
      <c r="D15" s="630" t="s">
        <v>355</v>
      </c>
      <c r="E15" s="616"/>
      <c r="F15" s="616"/>
      <c r="G15" s="617"/>
      <c r="H15" s="353">
        <v>0.7</v>
      </c>
    </row>
    <row r="16" spans="2:8" ht="15">
      <c r="B16" s="600"/>
      <c r="C16" s="271" t="s">
        <v>366</v>
      </c>
      <c r="D16" s="630" t="s">
        <v>356</v>
      </c>
      <c r="E16" s="631"/>
      <c r="F16" s="631"/>
      <c r="G16" s="632"/>
      <c r="H16" s="353">
        <v>4.2</v>
      </c>
    </row>
    <row r="17" spans="2:8" ht="15">
      <c r="B17" s="600"/>
      <c r="C17" s="271" t="s">
        <v>367</v>
      </c>
      <c r="D17" s="630" t="s">
        <v>354</v>
      </c>
      <c r="E17" s="631"/>
      <c r="F17" s="631"/>
      <c r="G17" s="632"/>
      <c r="H17" s="353">
        <v>7.95</v>
      </c>
    </row>
    <row r="18" spans="2:8" ht="15">
      <c r="B18" s="600"/>
      <c r="C18" s="271" t="s">
        <v>357</v>
      </c>
      <c r="D18" s="630" t="s">
        <v>358</v>
      </c>
      <c r="E18" s="631"/>
      <c r="F18" s="631"/>
      <c r="G18" s="632"/>
      <c r="H18" s="353">
        <v>2.4900000000000002</v>
      </c>
    </row>
    <row r="19" spans="2:8" ht="15">
      <c r="B19" s="600"/>
      <c r="C19" s="271" t="s">
        <v>359</v>
      </c>
      <c r="D19" s="630" t="s">
        <v>373</v>
      </c>
      <c r="E19" s="631"/>
      <c r="F19" s="631"/>
      <c r="G19" s="632"/>
      <c r="H19" s="353">
        <v>5.43</v>
      </c>
    </row>
    <row r="20" spans="2:8" ht="15">
      <c r="B20" s="600"/>
      <c r="C20" s="271" t="s">
        <v>361</v>
      </c>
      <c r="D20" s="630" t="s">
        <v>368</v>
      </c>
      <c r="E20" s="631"/>
      <c r="F20" s="631"/>
      <c r="G20" s="632"/>
      <c r="H20" s="353">
        <v>2.2799999999999998</v>
      </c>
    </row>
    <row r="21" spans="2:8" ht="15">
      <c r="B21" s="600"/>
      <c r="C21" s="271" t="s">
        <v>369</v>
      </c>
      <c r="D21" s="630" t="s">
        <v>368</v>
      </c>
      <c r="E21" s="631"/>
      <c r="F21" s="631"/>
      <c r="G21" s="632"/>
      <c r="H21" s="353">
        <v>2.2799999999999998</v>
      </c>
    </row>
    <row r="22" spans="2:8" ht="15">
      <c r="B22" s="600"/>
      <c r="C22" s="271" t="s">
        <v>370</v>
      </c>
      <c r="D22" s="630" t="s">
        <v>371</v>
      </c>
      <c r="E22" s="631"/>
      <c r="F22" s="631"/>
      <c r="G22" s="632"/>
      <c r="H22" s="353">
        <v>4.83</v>
      </c>
    </row>
    <row r="23" spans="2:8" ht="15">
      <c r="B23" s="600"/>
      <c r="C23" s="271" t="s">
        <v>410</v>
      </c>
      <c r="D23" s="630" t="s">
        <v>374</v>
      </c>
      <c r="E23" s="631"/>
      <c r="F23" s="631"/>
      <c r="G23" s="632"/>
      <c r="H23" s="353">
        <v>20.25</v>
      </c>
    </row>
    <row r="24" spans="2:8" ht="15">
      <c r="B24" s="600"/>
      <c r="C24" s="271" t="s">
        <v>375</v>
      </c>
      <c r="D24" s="630" t="s">
        <v>377</v>
      </c>
      <c r="E24" s="631"/>
      <c r="F24" s="631"/>
      <c r="G24" s="632"/>
      <c r="H24" s="353">
        <v>4.8</v>
      </c>
    </row>
    <row r="25" spans="2:8" ht="15.75" thickBot="1">
      <c r="B25" s="600"/>
      <c r="C25" s="270" t="s">
        <v>376</v>
      </c>
      <c r="D25" s="639" t="s">
        <v>377</v>
      </c>
      <c r="E25" s="640"/>
      <c r="F25" s="640"/>
      <c r="G25" s="641"/>
      <c r="H25" s="352">
        <v>4.8</v>
      </c>
    </row>
    <row r="26" spans="2:8" ht="15" customHeight="1">
      <c r="B26" s="624" t="str">
        <f>Orçamento!B13</f>
        <v>1.2</v>
      </c>
      <c r="C26" s="214" t="str">
        <f>Orçamento!E13</f>
        <v>DEMOLIÇÃO DE REVESTIMENTOS COM AZULEJOS C/TRANSP.ATE CB. E CARGA</v>
      </c>
      <c r="D26" s="215" t="str">
        <f>Orçamento!G13</f>
        <v>m2</v>
      </c>
      <c r="E26" s="689"/>
      <c r="F26" s="690"/>
      <c r="G26" s="691"/>
      <c r="H26" s="351" t="s">
        <v>6</v>
      </c>
    </row>
    <row r="27" spans="2:8" ht="15">
      <c r="B27" s="625"/>
      <c r="C27" s="272" t="s">
        <v>361</v>
      </c>
      <c r="D27" s="630" t="s">
        <v>379</v>
      </c>
      <c r="E27" s="616"/>
      <c r="F27" s="616"/>
      <c r="G27" s="617"/>
      <c r="H27" s="354">
        <v>17.36</v>
      </c>
    </row>
    <row r="28" spans="2:8" ht="15">
      <c r="B28" s="625"/>
      <c r="C28" s="272" t="s">
        <v>369</v>
      </c>
      <c r="D28" s="630" t="s">
        <v>379</v>
      </c>
      <c r="E28" s="616"/>
      <c r="F28" s="616"/>
      <c r="G28" s="617"/>
      <c r="H28" s="354">
        <v>17.36</v>
      </c>
    </row>
    <row r="29" spans="2:8" ht="15">
      <c r="B29" s="625"/>
      <c r="C29" s="280" t="s">
        <v>387</v>
      </c>
      <c r="D29" s="627" t="s">
        <v>388</v>
      </c>
      <c r="E29" s="628"/>
      <c r="F29" s="628"/>
      <c r="G29" s="629"/>
      <c r="H29" s="355">
        <v>4.5</v>
      </c>
    </row>
    <row r="30" spans="2:8" ht="15">
      <c r="B30" s="625"/>
      <c r="C30" s="275" t="s">
        <v>390</v>
      </c>
      <c r="D30" s="627" t="s">
        <v>388</v>
      </c>
      <c r="E30" s="628"/>
      <c r="F30" s="628"/>
      <c r="G30" s="629"/>
      <c r="H30" s="356">
        <v>4.5</v>
      </c>
    </row>
    <row r="31" spans="2:8" ht="15">
      <c r="B31" s="625"/>
      <c r="C31" s="273" t="s">
        <v>375</v>
      </c>
      <c r="D31" s="636" t="s">
        <v>421</v>
      </c>
      <c r="E31" s="631"/>
      <c r="F31" s="631"/>
      <c r="G31" s="632"/>
      <c r="H31" s="357">
        <v>49.56</v>
      </c>
    </row>
    <row r="32" spans="2:8" ht="15">
      <c r="B32" s="625"/>
      <c r="C32" s="273" t="s">
        <v>376</v>
      </c>
      <c r="D32" s="636" t="s">
        <v>421</v>
      </c>
      <c r="E32" s="631"/>
      <c r="F32" s="631"/>
      <c r="G32" s="632"/>
      <c r="H32" s="357">
        <v>49.56</v>
      </c>
    </row>
    <row r="33" spans="2:8" ht="15">
      <c r="B33" s="625"/>
      <c r="C33" s="276" t="s">
        <v>372</v>
      </c>
      <c r="D33" s="627" t="s">
        <v>395</v>
      </c>
      <c r="E33" s="637"/>
      <c r="F33" s="637"/>
      <c r="G33" s="638"/>
      <c r="H33" s="354">
        <v>23</v>
      </c>
    </row>
    <row r="34" spans="2:8" ht="15">
      <c r="B34" s="625"/>
      <c r="C34" s="276" t="s">
        <v>396</v>
      </c>
      <c r="D34" s="627" t="s">
        <v>398</v>
      </c>
      <c r="E34" s="628"/>
      <c r="F34" s="628"/>
      <c r="G34" s="629"/>
      <c r="H34" s="354">
        <v>7.2</v>
      </c>
    </row>
    <row r="35" spans="2:8" ht="15.75" thickBot="1">
      <c r="B35" s="626"/>
      <c r="C35" s="276" t="s">
        <v>362</v>
      </c>
      <c r="D35" s="627" t="s">
        <v>380</v>
      </c>
      <c r="E35" s="628"/>
      <c r="F35" s="628"/>
      <c r="G35" s="629"/>
      <c r="H35" s="354">
        <v>61.6</v>
      </c>
    </row>
    <row r="36" spans="2:8" ht="15" customHeight="1">
      <c r="B36" s="624" t="str">
        <f>Orçamento!B14</f>
        <v>1.3</v>
      </c>
      <c r="C36" s="220" t="str">
        <f>Orçamento!E14</f>
        <v>DEMOL.REVEST.C/ARGAMASSA C/TR.ATE CB.E CARGA</v>
      </c>
      <c r="D36" s="52" t="str">
        <f>Orçamento!G14</f>
        <v>m2</v>
      </c>
      <c r="E36" s="576"/>
      <c r="F36" s="577"/>
      <c r="G36" s="594"/>
      <c r="H36" s="351" t="s">
        <v>6</v>
      </c>
    </row>
    <row r="37" spans="2:8" ht="15">
      <c r="B37" s="625"/>
      <c r="C37" s="272" t="s">
        <v>365</v>
      </c>
      <c r="D37" s="609" t="s">
        <v>381</v>
      </c>
      <c r="E37" s="610"/>
      <c r="F37" s="610"/>
      <c r="G37" s="611"/>
      <c r="H37" s="354">
        <v>21.56</v>
      </c>
    </row>
    <row r="38" spans="2:8" ht="15">
      <c r="B38" s="625"/>
      <c r="C38" s="272" t="s">
        <v>366</v>
      </c>
      <c r="D38" s="609" t="s">
        <v>382</v>
      </c>
      <c r="E38" s="610"/>
      <c r="F38" s="610"/>
      <c r="G38" s="611"/>
      <c r="H38" s="354">
        <v>9.52</v>
      </c>
    </row>
    <row r="39" spans="2:8" ht="15">
      <c r="B39" s="625"/>
      <c r="C39" s="276" t="s">
        <v>383</v>
      </c>
      <c r="D39" s="627" t="s">
        <v>384</v>
      </c>
      <c r="E39" s="637"/>
      <c r="F39" s="637"/>
      <c r="G39" s="638"/>
      <c r="H39" s="354">
        <v>16.2</v>
      </c>
    </row>
    <row r="40" spans="2:8" ht="15">
      <c r="B40" s="625"/>
      <c r="C40" s="279" t="s">
        <v>387</v>
      </c>
      <c r="D40" s="627" t="s">
        <v>389</v>
      </c>
      <c r="E40" s="628"/>
      <c r="F40" s="628"/>
      <c r="G40" s="629"/>
      <c r="H40" s="354">
        <v>10.95</v>
      </c>
    </row>
    <row r="41" spans="2:8" ht="15">
      <c r="B41" s="625"/>
      <c r="C41" s="279" t="s">
        <v>390</v>
      </c>
      <c r="D41" s="627" t="s">
        <v>391</v>
      </c>
      <c r="E41" s="628"/>
      <c r="F41" s="628"/>
      <c r="G41" s="629"/>
      <c r="H41" s="354">
        <v>2.5</v>
      </c>
    </row>
    <row r="42" spans="2:8" ht="15">
      <c r="B42" s="625"/>
      <c r="C42" s="279" t="s">
        <v>394</v>
      </c>
      <c r="D42" s="627" t="s">
        <v>391</v>
      </c>
      <c r="E42" s="628"/>
      <c r="F42" s="628"/>
      <c r="G42" s="629"/>
      <c r="H42" s="354">
        <v>2.5</v>
      </c>
    </row>
    <row r="43" spans="2:8" ht="15">
      <c r="B43" s="625"/>
      <c r="C43" s="279" t="s">
        <v>392</v>
      </c>
      <c r="D43" s="627" t="s">
        <v>393</v>
      </c>
      <c r="E43" s="628"/>
      <c r="F43" s="628"/>
      <c r="G43" s="629"/>
      <c r="H43" s="354">
        <v>5</v>
      </c>
    </row>
    <row r="44" spans="2:8" ht="15">
      <c r="B44" s="625"/>
      <c r="C44" s="279" t="s">
        <v>396</v>
      </c>
      <c r="D44" s="627" t="s">
        <v>397</v>
      </c>
      <c r="E44" s="628"/>
      <c r="F44" s="628"/>
      <c r="G44" s="629"/>
      <c r="H44" s="354">
        <v>4</v>
      </c>
    </row>
    <row r="45" spans="2:8" ht="15">
      <c r="B45" s="625"/>
      <c r="C45" s="279" t="s">
        <v>399</v>
      </c>
      <c r="D45" s="627" t="s">
        <v>400</v>
      </c>
      <c r="E45" s="628"/>
      <c r="F45" s="628"/>
      <c r="G45" s="629"/>
      <c r="H45" s="354">
        <v>4.95</v>
      </c>
    </row>
    <row r="46" spans="2:8" ht="15.95" customHeight="1" thickBot="1">
      <c r="B46" s="626"/>
      <c r="C46" s="278" t="s">
        <v>385</v>
      </c>
      <c r="D46" s="642" t="s">
        <v>386</v>
      </c>
      <c r="E46" s="643"/>
      <c r="F46" s="643"/>
      <c r="G46" s="644"/>
      <c r="H46" s="358">
        <v>54.6</v>
      </c>
    </row>
    <row r="47" spans="2:8" ht="15.95" customHeight="1">
      <c r="B47" s="624" t="str">
        <f>Orçamento!B15</f>
        <v>1.4</v>
      </c>
      <c r="C47" s="220" t="str">
        <f>Orçamento!E15</f>
        <v>DEM.ALVEN.TIJOLO S/REAP. C/TR.ATE CB. E CARGA</v>
      </c>
      <c r="D47" s="52" t="str">
        <f>Orçamento!G15</f>
        <v>m3</v>
      </c>
      <c r="E47" s="576"/>
      <c r="F47" s="577"/>
      <c r="G47" s="594"/>
      <c r="H47" s="351" t="s">
        <v>6</v>
      </c>
    </row>
    <row r="48" spans="2:8" ht="15.95" customHeight="1">
      <c r="B48" s="625"/>
      <c r="C48" s="296" t="s">
        <v>363</v>
      </c>
      <c r="D48" s="609" t="s">
        <v>401</v>
      </c>
      <c r="E48" s="610"/>
      <c r="F48" s="610"/>
      <c r="G48" s="611"/>
      <c r="H48" s="354">
        <v>16.8</v>
      </c>
    </row>
    <row r="49" spans="2:8" ht="15.95" customHeight="1">
      <c r="B49" s="625"/>
      <c r="C49" s="296" t="s">
        <v>362</v>
      </c>
      <c r="D49" s="609" t="s">
        <v>402</v>
      </c>
      <c r="E49" s="610"/>
      <c r="F49" s="610"/>
      <c r="G49" s="611"/>
      <c r="H49" s="354">
        <v>31.15</v>
      </c>
    </row>
    <row r="50" spans="2:8" ht="15.95" customHeight="1">
      <c r="B50" s="625"/>
      <c r="C50" s="296" t="s">
        <v>367</v>
      </c>
      <c r="D50" s="609" t="s">
        <v>404</v>
      </c>
      <c r="E50" s="610"/>
      <c r="F50" s="610"/>
      <c r="G50" s="611"/>
      <c r="H50" s="354">
        <v>18.34</v>
      </c>
    </row>
    <row r="51" spans="2:8" ht="15.95" customHeight="1">
      <c r="B51" s="625"/>
      <c r="C51" s="296" t="s">
        <v>364</v>
      </c>
      <c r="D51" s="609" t="s">
        <v>360</v>
      </c>
      <c r="E51" s="610"/>
      <c r="F51" s="610"/>
      <c r="G51" s="611"/>
      <c r="H51" s="354">
        <v>1.68</v>
      </c>
    </row>
    <row r="52" spans="2:8" ht="15.95" customHeight="1">
      <c r="B52" s="625"/>
      <c r="C52" s="296" t="s">
        <v>396</v>
      </c>
      <c r="D52" s="609" t="s">
        <v>403</v>
      </c>
      <c r="E52" s="610"/>
      <c r="F52" s="610"/>
      <c r="G52" s="611"/>
      <c r="H52" s="354">
        <v>14</v>
      </c>
    </row>
    <row r="53" spans="2:8" ht="15.95" customHeight="1">
      <c r="B53" s="625"/>
      <c r="C53" s="296" t="s">
        <v>409</v>
      </c>
      <c r="D53" s="609" t="s">
        <v>405</v>
      </c>
      <c r="E53" s="610"/>
      <c r="F53" s="610"/>
      <c r="G53" s="611"/>
      <c r="H53" s="354">
        <v>6.16</v>
      </c>
    </row>
    <row r="54" spans="2:8" ht="15.95" customHeight="1">
      <c r="B54" s="625"/>
      <c r="C54" s="296" t="s">
        <v>357</v>
      </c>
      <c r="D54" s="609" t="s">
        <v>406</v>
      </c>
      <c r="E54" s="610"/>
      <c r="F54" s="610"/>
      <c r="G54" s="611"/>
      <c r="H54" s="354">
        <v>23.66</v>
      </c>
    </row>
    <row r="55" spans="2:8" ht="15.95" customHeight="1">
      <c r="B55" s="625"/>
      <c r="C55" s="296" t="s">
        <v>407</v>
      </c>
      <c r="D55" s="609" t="s">
        <v>414</v>
      </c>
      <c r="E55" s="610"/>
      <c r="F55" s="610"/>
      <c r="G55" s="611"/>
      <c r="H55" s="354">
        <v>11.06</v>
      </c>
    </row>
    <row r="56" spans="2:8" ht="15.95" customHeight="1">
      <c r="B56" s="625"/>
      <c r="C56" s="296" t="s">
        <v>366</v>
      </c>
      <c r="D56" s="609" t="s">
        <v>360</v>
      </c>
      <c r="E56" s="610"/>
      <c r="F56" s="610"/>
      <c r="G56" s="611"/>
      <c r="H56" s="354">
        <v>1.68</v>
      </c>
    </row>
    <row r="57" spans="2:8" ht="15.95" customHeight="1">
      <c r="B57" s="625"/>
      <c r="C57" s="296" t="s">
        <v>359</v>
      </c>
      <c r="D57" s="609" t="s">
        <v>413</v>
      </c>
      <c r="E57" s="610"/>
      <c r="F57" s="610"/>
      <c r="G57" s="611"/>
      <c r="H57" s="354">
        <v>16.100000000000001</v>
      </c>
    </row>
    <row r="58" spans="2:8" ht="15.95" customHeight="1">
      <c r="B58" s="625"/>
      <c r="C58" s="297" t="s">
        <v>375</v>
      </c>
      <c r="D58" s="609" t="s">
        <v>408</v>
      </c>
      <c r="E58" s="610"/>
      <c r="F58" s="610"/>
      <c r="G58" s="611"/>
      <c r="H58" s="354">
        <v>18.36</v>
      </c>
    </row>
    <row r="59" spans="2:8" ht="15.95" customHeight="1">
      <c r="B59" s="625"/>
      <c r="C59" s="298" t="s">
        <v>376</v>
      </c>
      <c r="D59" s="609" t="s">
        <v>408</v>
      </c>
      <c r="E59" s="610"/>
      <c r="F59" s="610"/>
      <c r="G59" s="611"/>
      <c r="H59" s="354">
        <v>18.36</v>
      </c>
    </row>
    <row r="60" spans="2:8" ht="15.95" customHeight="1">
      <c r="B60" s="625"/>
      <c r="C60" s="298" t="s">
        <v>361</v>
      </c>
      <c r="D60" s="609" t="s">
        <v>412</v>
      </c>
      <c r="E60" s="610"/>
      <c r="F60" s="610"/>
      <c r="G60" s="611"/>
      <c r="H60" s="354">
        <v>10.78</v>
      </c>
    </row>
    <row r="61" spans="2:8" ht="15.95" customHeight="1">
      <c r="B61" s="625"/>
      <c r="C61" s="298" t="s">
        <v>369</v>
      </c>
      <c r="D61" s="609" t="s">
        <v>412</v>
      </c>
      <c r="E61" s="610"/>
      <c r="F61" s="610"/>
      <c r="G61" s="611"/>
      <c r="H61" s="354">
        <v>10.78</v>
      </c>
    </row>
    <row r="62" spans="2:8" ht="15.95" customHeight="1" thickBot="1">
      <c r="B62" s="626"/>
      <c r="C62" s="299" t="s">
        <v>410</v>
      </c>
      <c r="D62" s="551" t="s">
        <v>411</v>
      </c>
      <c r="E62" s="552"/>
      <c r="F62" s="552"/>
      <c r="G62" s="553"/>
      <c r="H62" s="359">
        <v>26.6</v>
      </c>
    </row>
    <row r="63" spans="2:8">
      <c r="B63" s="625" t="str">
        <f>Orçamento!B16</f>
        <v>1.5</v>
      </c>
      <c r="C63" s="219" t="str">
        <f>Orçamento!E16</f>
        <v>DEM. MANUAL EM CONCR.SIMPLES C/TR.ATE CB.E CARGA (O.C.)</v>
      </c>
      <c r="D63" s="50" t="str">
        <f>Orçamento!G16</f>
        <v>m3</v>
      </c>
      <c r="E63" s="50" t="s">
        <v>439</v>
      </c>
      <c r="F63" s="50" t="s">
        <v>132</v>
      </c>
      <c r="G63" s="50"/>
      <c r="H63" s="360" t="s">
        <v>6</v>
      </c>
    </row>
    <row r="64" spans="2:8" ht="15.75" thickBot="1">
      <c r="B64" s="625"/>
      <c r="C64" s="294" t="s">
        <v>437</v>
      </c>
      <c r="D64" s="211"/>
      <c r="E64" s="212">
        <v>95.58</v>
      </c>
      <c r="F64" s="212">
        <v>0.1</v>
      </c>
      <c r="G64" s="213"/>
      <c r="H64" s="357">
        <f>E64*F64</f>
        <v>9.5579999999999998</v>
      </c>
    </row>
    <row r="65" spans="2:8" ht="15" customHeight="1">
      <c r="B65" s="624" t="str">
        <f>Orçamento!B17</f>
        <v>1.6</v>
      </c>
      <c r="C65" s="220" t="str">
        <f>Orçamento!E17</f>
        <v>DEMOLIÇAO BACIA SANITARIA C/ TRANSP. ATÉ CB. E CARGA</v>
      </c>
      <c r="D65" s="52" t="str">
        <f>Orçamento!G17</f>
        <v>unid.</v>
      </c>
      <c r="E65" s="576"/>
      <c r="F65" s="577"/>
      <c r="G65" s="594"/>
      <c r="H65" s="351" t="s">
        <v>6</v>
      </c>
    </row>
    <row r="66" spans="2:8" ht="15">
      <c r="B66" s="625"/>
      <c r="C66" s="272" t="s">
        <v>375</v>
      </c>
      <c r="D66" s="615"/>
      <c r="E66" s="616"/>
      <c r="F66" s="616"/>
      <c r="G66" s="617"/>
      <c r="H66" s="361">
        <v>2</v>
      </c>
    </row>
    <row r="67" spans="2:8" ht="15">
      <c r="B67" s="625"/>
      <c r="C67" s="272" t="s">
        <v>376</v>
      </c>
      <c r="D67" s="615"/>
      <c r="E67" s="616"/>
      <c r="F67" s="616"/>
      <c r="G67" s="617"/>
      <c r="H67" s="361">
        <v>2</v>
      </c>
    </row>
    <row r="68" spans="2:8" ht="15">
      <c r="B68" s="625"/>
      <c r="C68" s="272" t="s">
        <v>361</v>
      </c>
      <c r="D68" s="615"/>
      <c r="E68" s="616"/>
      <c r="F68" s="616"/>
      <c r="G68" s="617"/>
      <c r="H68" s="361">
        <v>1</v>
      </c>
    </row>
    <row r="69" spans="2:8" ht="15">
      <c r="B69" s="625"/>
      <c r="C69" s="272" t="s">
        <v>369</v>
      </c>
      <c r="D69" s="615"/>
      <c r="E69" s="616"/>
      <c r="F69" s="616"/>
      <c r="G69" s="617"/>
      <c r="H69" s="361">
        <v>1</v>
      </c>
    </row>
    <row r="70" spans="2:8" ht="15">
      <c r="B70" s="625"/>
      <c r="C70" s="272" t="s">
        <v>410</v>
      </c>
      <c r="D70" s="615"/>
      <c r="E70" s="616"/>
      <c r="F70" s="616"/>
      <c r="G70" s="617"/>
      <c r="H70" s="361">
        <v>2</v>
      </c>
    </row>
    <row r="71" spans="2:8" ht="15.75" thickBot="1">
      <c r="B71" s="625"/>
      <c r="C71" s="273" t="s">
        <v>362</v>
      </c>
      <c r="D71" s="618"/>
      <c r="E71" s="619"/>
      <c r="F71" s="619"/>
      <c r="G71" s="620"/>
      <c r="H71" s="362">
        <v>1</v>
      </c>
    </row>
    <row r="72" spans="2:8" ht="15" customHeight="1">
      <c r="B72" s="624" t="str">
        <f>Orçamento!B18</f>
        <v>1.7</v>
      </c>
      <c r="C72" s="220" t="str">
        <f>Orçamento!E18</f>
        <v>DEMOLIÇAO DE LAVATÓRIO C/ TRANSP. ATÉ CB. E CARGA</v>
      </c>
      <c r="D72" s="52" t="str">
        <f>Orçamento!G18</f>
        <v>unid.</v>
      </c>
      <c r="E72" s="576"/>
      <c r="F72" s="577"/>
      <c r="G72" s="594"/>
      <c r="H72" s="351" t="s">
        <v>6</v>
      </c>
    </row>
    <row r="73" spans="2:8" ht="15">
      <c r="B73" s="625"/>
      <c r="C73" s="272" t="s">
        <v>361</v>
      </c>
      <c r="D73" s="615"/>
      <c r="E73" s="616"/>
      <c r="F73" s="616"/>
      <c r="G73" s="617"/>
      <c r="H73" s="361">
        <v>1</v>
      </c>
    </row>
    <row r="74" spans="2:8" ht="15">
      <c r="B74" s="625"/>
      <c r="C74" s="272" t="s">
        <v>369</v>
      </c>
      <c r="D74" s="615"/>
      <c r="E74" s="616"/>
      <c r="F74" s="616"/>
      <c r="G74" s="617"/>
      <c r="H74" s="361">
        <v>1</v>
      </c>
    </row>
    <row r="75" spans="2:8" ht="15">
      <c r="B75" s="625"/>
      <c r="C75" s="272" t="s">
        <v>415</v>
      </c>
      <c r="D75" s="615"/>
      <c r="E75" s="616"/>
      <c r="F75" s="616"/>
      <c r="G75" s="617"/>
      <c r="H75" s="361">
        <v>1</v>
      </c>
    </row>
    <row r="76" spans="2:8" ht="15.75" thickBot="1">
      <c r="B76" s="626"/>
      <c r="C76" s="273" t="s">
        <v>363</v>
      </c>
      <c r="D76" s="621"/>
      <c r="E76" s="622"/>
      <c r="F76" s="622"/>
      <c r="G76" s="623"/>
      <c r="H76" s="362">
        <v>1</v>
      </c>
    </row>
    <row r="77" spans="2:8" ht="15" customHeight="1">
      <c r="B77" s="624" t="str">
        <f>Orçamento!B19</f>
        <v>1.8</v>
      </c>
      <c r="C77" s="220" t="str">
        <f>Orçamento!E19</f>
        <v>DEMOLIÇAO DE BANCADAS C/ TRANSP. ATÉ CB. E CARGA</v>
      </c>
      <c r="D77" s="52" t="str">
        <f>Orçamento!G19</f>
        <v>m2</v>
      </c>
      <c r="E77" s="576"/>
      <c r="F77" s="577"/>
      <c r="G77" s="594"/>
      <c r="H77" s="351" t="s">
        <v>6</v>
      </c>
    </row>
    <row r="78" spans="2:8" ht="15">
      <c r="B78" s="625"/>
      <c r="C78" s="281" t="s">
        <v>375</v>
      </c>
      <c r="D78" s="609" t="s">
        <v>416</v>
      </c>
      <c r="E78" s="610"/>
      <c r="F78" s="610"/>
      <c r="G78" s="611"/>
      <c r="H78" s="354">
        <v>1.77</v>
      </c>
    </row>
    <row r="79" spans="2:8" ht="15">
      <c r="B79" s="625"/>
      <c r="C79" s="272" t="s">
        <v>376</v>
      </c>
      <c r="D79" s="609" t="s">
        <v>416</v>
      </c>
      <c r="E79" s="610"/>
      <c r="F79" s="610"/>
      <c r="G79" s="611"/>
      <c r="H79" s="354">
        <v>1.77</v>
      </c>
    </row>
    <row r="80" spans="2:8" ht="15">
      <c r="B80" s="625"/>
      <c r="C80" s="272" t="s">
        <v>364</v>
      </c>
      <c r="D80" s="609" t="s">
        <v>418</v>
      </c>
      <c r="E80" s="610"/>
      <c r="F80" s="610"/>
      <c r="G80" s="611"/>
      <c r="H80" s="354">
        <v>2.0099999999999998</v>
      </c>
    </row>
    <row r="81" spans="2:8" ht="15">
      <c r="B81" s="625"/>
      <c r="C81" s="282" t="s">
        <v>365</v>
      </c>
      <c r="D81" s="609" t="s">
        <v>419</v>
      </c>
      <c r="E81" s="610"/>
      <c r="F81" s="610"/>
      <c r="G81" s="611"/>
      <c r="H81" s="354">
        <v>1.41</v>
      </c>
    </row>
    <row r="82" spans="2:8" ht="15.75" thickBot="1">
      <c r="B82" s="626"/>
      <c r="C82" s="274" t="s">
        <v>410</v>
      </c>
      <c r="D82" s="609" t="s">
        <v>417</v>
      </c>
      <c r="E82" s="610"/>
      <c r="F82" s="610"/>
      <c r="G82" s="611"/>
      <c r="H82" s="354">
        <v>2.04</v>
      </c>
    </row>
    <row r="83" spans="2:8" ht="15" customHeight="1">
      <c r="B83" s="624" t="str">
        <f>Orçamento!B20</f>
        <v>1.9</v>
      </c>
      <c r="C83" s="220" t="str">
        <f>Orçamento!E20</f>
        <v>DEMOLIÇAO DE VÁLVULA DE DESCARGA C/ TRANSP. ATÉ CB. E CARGA</v>
      </c>
      <c r="D83" s="52" t="str">
        <f>Orçamento!G20</f>
        <v>unid.</v>
      </c>
      <c r="E83" s="576"/>
      <c r="F83" s="577"/>
      <c r="G83" s="594"/>
      <c r="H83" s="351" t="s">
        <v>6</v>
      </c>
    </row>
    <row r="84" spans="2:8" ht="15">
      <c r="B84" s="625"/>
      <c r="C84" s="272" t="s">
        <v>375</v>
      </c>
      <c r="D84" s="615"/>
      <c r="E84" s="616"/>
      <c r="F84" s="616"/>
      <c r="G84" s="617"/>
      <c r="H84" s="361">
        <v>2</v>
      </c>
    </row>
    <row r="85" spans="2:8" ht="15">
      <c r="B85" s="625"/>
      <c r="C85" s="272" t="s">
        <v>376</v>
      </c>
      <c r="D85" s="615"/>
      <c r="E85" s="616"/>
      <c r="F85" s="616"/>
      <c r="G85" s="617"/>
      <c r="H85" s="361">
        <v>2</v>
      </c>
    </row>
    <row r="86" spans="2:8" ht="15">
      <c r="B86" s="625"/>
      <c r="C86" s="272" t="s">
        <v>361</v>
      </c>
      <c r="D86" s="615"/>
      <c r="E86" s="616"/>
      <c r="F86" s="616"/>
      <c r="G86" s="617"/>
      <c r="H86" s="361">
        <v>1</v>
      </c>
    </row>
    <row r="87" spans="2:8" ht="15">
      <c r="B87" s="625"/>
      <c r="C87" s="272" t="s">
        <v>369</v>
      </c>
      <c r="D87" s="615"/>
      <c r="E87" s="616"/>
      <c r="F87" s="616"/>
      <c r="G87" s="617"/>
      <c r="H87" s="361">
        <v>1</v>
      </c>
    </row>
    <row r="88" spans="2:8" ht="15">
      <c r="B88" s="625"/>
      <c r="C88" s="272" t="s">
        <v>410</v>
      </c>
      <c r="D88" s="615"/>
      <c r="E88" s="616"/>
      <c r="F88" s="616"/>
      <c r="G88" s="617"/>
      <c r="H88" s="361">
        <v>2</v>
      </c>
    </row>
    <row r="89" spans="2:8" ht="15.75" thickBot="1">
      <c r="B89" s="626"/>
      <c r="C89" s="273" t="s">
        <v>362</v>
      </c>
      <c r="D89" s="618"/>
      <c r="E89" s="619"/>
      <c r="F89" s="619"/>
      <c r="G89" s="620"/>
      <c r="H89" s="362">
        <v>1</v>
      </c>
    </row>
    <row r="90" spans="2:8" ht="15" customHeight="1">
      <c r="B90" s="624" t="str">
        <f>Orçamento!B21</f>
        <v>1.10</v>
      </c>
      <c r="C90" s="220" t="str">
        <f>Orçamento!E21</f>
        <v>DEM. MEIO FIO SEM REAPROV.C/TR.ATE C B E CARGA</v>
      </c>
      <c r="D90" s="332" t="str">
        <f>Orçamento!G21</f>
        <v>m</v>
      </c>
      <c r="E90" s="576"/>
      <c r="F90" s="577"/>
      <c r="G90" s="594"/>
      <c r="H90" s="351" t="s">
        <v>6</v>
      </c>
    </row>
    <row r="91" spans="2:8" ht="15.75" thickBot="1">
      <c r="B91" s="626"/>
      <c r="C91" s="363" t="s">
        <v>462</v>
      </c>
      <c r="D91" s="621"/>
      <c r="E91" s="622"/>
      <c r="F91" s="622"/>
      <c r="G91" s="623"/>
      <c r="H91" s="359">
        <v>20</v>
      </c>
    </row>
    <row r="92" spans="2:8">
      <c r="B92" s="625" t="str">
        <f>Orçamento!B22</f>
        <v>1.11</v>
      </c>
      <c r="C92" s="219" t="str">
        <f>Orçamento!E22</f>
        <v>DEM.DIVISÓRIAS PAINÉIS PRE-FABRIC.C/REAPROVEITAMENTO</v>
      </c>
      <c r="D92" s="50" t="str">
        <f>Orçamento!G22</f>
        <v>m2</v>
      </c>
      <c r="E92" s="332" t="s">
        <v>168</v>
      </c>
      <c r="F92" s="332" t="s">
        <v>350</v>
      </c>
      <c r="G92" s="277"/>
      <c r="H92" s="360" t="s">
        <v>6</v>
      </c>
    </row>
    <row r="93" spans="2:8" ht="15.75" thickBot="1">
      <c r="B93" s="625"/>
      <c r="C93" s="294" t="s">
        <v>365</v>
      </c>
      <c r="D93" s="364"/>
      <c r="E93" s="218">
        <v>3.35</v>
      </c>
      <c r="F93" s="334">
        <v>2.8</v>
      </c>
      <c r="G93" s="365"/>
      <c r="H93" s="357">
        <f>E93*F93</f>
        <v>9.379999999999999</v>
      </c>
    </row>
    <row r="94" spans="2:8" ht="15" customHeight="1">
      <c r="B94" s="624" t="str">
        <f>Orçamento!B23</f>
        <v>1.12</v>
      </c>
      <c r="C94" s="220" t="str">
        <f>Orçamento!E23</f>
        <v>DEMOLIÇÃO CALHAS/ RUFOS EM CHAPA C/TR.AT.C.B.E CARGA</v>
      </c>
      <c r="D94" s="52" t="s">
        <v>142</v>
      </c>
      <c r="E94" s="576"/>
      <c r="F94" s="577"/>
      <c r="G94" s="594"/>
      <c r="H94" s="351" t="s">
        <v>6</v>
      </c>
    </row>
    <row r="95" spans="2:8" ht="15.75" thickBot="1">
      <c r="B95" s="626"/>
      <c r="C95" s="295" t="s">
        <v>438</v>
      </c>
      <c r="D95" s="687" t="s">
        <v>463</v>
      </c>
      <c r="E95" s="622"/>
      <c r="F95" s="622"/>
      <c r="G95" s="623"/>
      <c r="H95" s="359">
        <v>28.35</v>
      </c>
    </row>
    <row r="96" spans="2:8">
      <c r="B96" s="625" t="str">
        <f>Orçamento!B24</f>
        <v>1.13</v>
      </c>
      <c r="C96" s="219" t="str">
        <f>Orçamento!E24</f>
        <v>DEMOLIÇÃO DAS INSTALAÇÕES ELÉTRICAS E AFINS C/ TRANSP. ATÉ CB. E CARGA</v>
      </c>
      <c r="D96" s="50" t="str">
        <f>Orçamento!G24</f>
        <v>hora</v>
      </c>
      <c r="E96" s="50" t="s">
        <v>166</v>
      </c>
      <c r="F96" s="50" t="s">
        <v>420</v>
      </c>
      <c r="G96" s="50"/>
      <c r="H96" s="360" t="s">
        <v>6</v>
      </c>
    </row>
    <row r="97" spans="2:8" ht="15.75" thickBot="1">
      <c r="B97" s="625"/>
      <c r="C97" s="221"/>
      <c r="D97" s="211"/>
      <c r="E97" s="213">
        <v>8</v>
      </c>
      <c r="F97" s="213">
        <v>45</v>
      </c>
      <c r="G97" s="213"/>
      <c r="H97" s="366">
        <f>E97*F97</f>
        <v>360</v>
      </c>
    </row>
    <row r="98" spans="2:8">
      <c r="B98" s="624" t="str">
        <f>Orçamento!B25</f>
        <v>1.14</v>
      </c>
      <c r="C98" s="220" t="str">
        <f>Orçamento!E25</f>
        <v>DEMOLIÇÃO DAS INSTALAÇÕES HIDROSANITÁRIAS E AFINS C/ TRANSP. ATÉ CB. E CARGA</v>
      </c>
      <c r="D98" s="52" t="str">
        <f>Orçamento!G25</f>
        <v>hora</v>
      </c>
      <c r="E98" s="52" t="s">
        <v>166</v>
      </c>
      <c r="F98" s="52" t="s">
        <v>420</v>
      </c>
      <c r="G98" s="52"/>
      <c r="H98" s="351" t="s">
        <v>6</v>
      </c>
    </row>
    <row r="99" spans="2:8" ht="15.75" thickBot="1">
      <c r="B99" s="626"/>
      <c r="C99" s="223"/>
      <c r="D99" s="211"/>
      <c r="E99" s="302">
        <v>8</v>
      </c>
      <c r="F99" s="213">
        <v>45</v>
      </c>
      <c r="G99" s="213"/>
      <c r="H99" s="367">
        <f>E99*F99</f>
        <v>360</v>
      </c>
    </row>
    <row r="100" spans="2:8" ht="25.5">
      <c r="B100" s="624" t="str">
        <f>Orçamento!B26</f>
        <v>1.15</v>
      </c>
      <c r="C100" s="220" t="str">
        <f>Orçamento!E26</f>
        <v>FERRAMENTAS (MANUAIS/ELÉTRICAS) E MATERIAL DE LIMPEZA PERMANENTE DA OBRA - ÁREAS EDIFICADAS/COBERTAS/FECHADAS</v>
      </c>
      <c r="D100" s="52" t="s">
        <v>137</v>
      </c>
      <c r="E100" s="576"/>
      <c r="F100" s="577"/>
      <c r="G100" s="594"/>
      <c r="H100" s="351" t="s">
        <v>6</v>
      </c>
    </row>
    <row r="101" spans="2:8" ht="15.75" thickBot="1">
      <c r="B101" s="626"/>
      <c r="C101" s="363" t="s">
        <v>464</v>
      </c>
      <c r="D101" s="688">
        <f>H101</f>
        <v>1031.95</v>
      </c>
      <c r="E101" s="622"/>
      <c r="F101" s="622"/>
      <c r="G101" s="623"/>
      <c r="H101" s="359">
        <v>1031.95</v>
      </c>
    </row>
    <row r="102" spans="2:8" ht="25.5">
      <c r="B102" s="624" t="str">
        <f>Orçamento!B27</f>
        <v>1.16</v>
      </c>
      <c r="C102" s="220" t="str">
        <f>Orçamento!E27</f>
        <v>LOCAÇÃO DE OBRAS DE PEQUENO PORTE COM CAVALETE, INCLUSO PINTURA ( FACE INTERNA DO SARRAFO 10CM) E PIQUETE COM TESTEMUNHA</v>
      </c>
      <c r="D102" s="332" t="str">
        <f>Orçamento!G27</f>
        <v>m2</v>
      </c>
      <c r="E102" s="332" t="s">
        <v>168</v>
      </c>
      <c r="F102" s="332" t="s">
        <v>169</v>
      </c>
      <c r="G102" s="277"/>
      <c r="H102" s="351" t="s">
        <v>6</v>
      </c>
    </row>
    <row r="103" spans="2:8" ht="15">
      <c r="B103" s="625"/>
      <c r="C103" s="384" t="s">
        <v>467</v>
      </c>
      <c r="D103" s="382"/>
      <c r="E103" s="385">
        <v>15.6</v>
      </c>
      <c r="F103" s="385">
        <v>8.5</v>
      </c>
      <c r="G103" s="383"/>
      <c r="H103" s="354">
        <f>E103*F103</f>
        <v>132.6</v>
      </c>
    </row>
    <row r="104" spans="2:8" ht="15.75" thickBot="1">
      <c r="B104" s="626"/>
      <c r="C104" s="379" t="s">
        <v>465</v>
      </c>
      <c r="D104" s="380"/>
      <c r="E104" s="386">
        <v>11.55</v>
      </c>
      <c r="F104" s="386">
        <v>2.35</v>
      </c>
      <c r="G104" s="381"/>
      <c r="H104" s="358">
        <f>E104*F104</f>
        <v>27.142500000000002</v>
      </c>
    </row>
    <row r="105" spans="2:8" ht="25.5">
      <c r="B105" s="625" t="str">
        <f>Orçamento!B28</f>
        <v>1.17</v>
      </c>
      <c r="C105" s="219" t="str">
        <f>Orçamento!E28</f>
        <v>PLACA DE OBRA PLOTADA EM CHAPA METÁLICA 26 , AFIXADA EM CAVALETES DE MADEIRA DE LEI (VIGOTAS 6X12CM) - PADRÃO AGETOP</v>
      </c>
      <c r="D105" s="50" t="str">
        <f>Orçamento!G28</f>
        <v>m2</v>
      </c>
      <c r="E105" s="50" t="s">
        <v>168</v>
      </c>
      <c r="F105" s="50" t="s">
        <v>350</v>
      </c>
      <c r="G105" s="50"/>
      <c r="H105" s="360" t="s">
        <v>6</v>
      </c>
    </row>
    <row r="106" spans="2:8" ht="15.75" thickBot="1">
      <c r="B106" s="692"/>
      <c r="C106" s="208"/>
      <c r="D106" s="93"/>
      <c r="E106" s="96">
        <v>2</v>
      </c>
      <c r="F106" s="96">
        <v>1.5</v>
      </c>
      <c r="G106" s="94"/>
      <c r="H106" s="354">
        <f>E106*F106</f>
        <v>3</v>
      </c>
    </row>
    <row r="107" spans="2:8" ht="15" customHeight="1" thickBot="1">
      <c r="B107" s="596" t="str">
        <f>Orçamento!B30</f>
        <v>TRANSPORTES</v>
      </c>
      <c r="C107" s="597"/>
      <c r="D107" s="597"/>
      <c r="E107" s="597"/>
      <c r="F107" s="597"/>
      <c r="G107" s="597"/>
      <c r="H107" s="598"/>
    </row>
    <row r="108" spans="2:8">
      <c r="B108" s="601" t="str">
        <f>Orçamento!B31</f>
        <v>2.1</v>
      </c>
      <c r="C108" s="349" t="str">
        <f>Orçamento!E31</f>
        <v xml:space="preserve">TRANSPORTE DE ENTULHO CAÇAMBA ESTACIONÁRIA SEM CARGA  </v>
      </c>
      <c r="D108" s="129" t="str">
        <f>Orçamento!G31</f>
        <v>m3</v>
      </c>
      <c r="E108" s="331" t="s">
        <v>137</v>
      </c>
      <c r="F108" s="224" t="s">
        <v>132</v>
      </c>
      <c r="G108" s="52" t="s">
        <v>170</v>
      </c>
      <c r="H108" s="351" t="s">
        <v>6</v>
      </c>
    </row>
    <row r="109" spans="2:8" ht="14.1" customHeight="1">
      <c r="B109" s="600"/>
      <c r="C109" s="350" t="s">
        <v>58</v>
      </c>
      <c r="D109" s="335"/>
      <c r="E109" s="134">
        <f>SUM(H12:H25)</f>
        <v>76.209999999999994</v>
      </c>
      <c r="F109" s="336">
        <v>0.1</v>
      </c>
      <c r="G109" s="226">
        <v>0.3</v>
      </c>
      <c r="H109" s="375">
        <f>((E109*F109)*G109)+(E109*F109)</f>
        <v>9.9072999999999993</v>
      </c>
    </row>
    <row r="110" spans="2:8" ht="14.1" customHeight="1">
      <c r="B110" s="600"/>
      <c r="C110" s="350" t="s">
        <v>59</v>
      </c>
      <c r="D110" s="335"/>
      <c r="E110" s="134">
        <f>SUM(H27:H35)</f>
        <v>234.64</v>
      </c>
      <c r="F110" s="336">
        <v>0.05</v>
      </c>
      <c r="G110" s="226">
        <v>0.3</v>
      </c>
      <c r="H110" s="375">
        <f t="shared" ref="H110:H112" si="0">((E110*F110)*G110)+(E110*F110)</f>
        <v>15.2516</v>
      </c>
    </row>
    <row r="111" spans="2:8" ht="14.1" customHeight="1">
      <c r="B111" s="600"/>
      <c r="C111" s="350" t="s">
        <v>60</v>
      </c>
      <c r="D111" s="335"/>
      <c r="E111" s="134">
        <f>SUM(H37:H46)</f>
        <v>131.78</v>
      </c>
      <c r="F111" s="336">
        <v>0.05</v>
      </c>
      <c r="G111" s="226">
        <v>0.3</v>
      </c>
      <c r="H111" s="375">
        <f t="shared" si="0"/>
        <v>8.5656999999999996</v>
      </c>
    </row>
    <row r="112" spans="2:8" ht="15" customHeight="1">
      <c r="B112" s="600"/>
      <c r="C112" s="350" t="s">
        <v>61</v>
      </c>
      <c r="D112" s="335"/>
      <c r="E112" s="134">
        <f>SUM(H48:H62)</f>
        <v>225.51000000000002</v>
      </c>
      <c r="F112" s="336">
        <v>0.15</v>
      </c>
      <c r="G112" s="226">
        <v>0.3</v>
      </c>
      <c r="H112" s="375">
        <f t="shared" si="0"/>
        <v>43.974450000000004</v>
      </c>
    </row>
    <row r="113" spans="2:8" ht="15.95" customHeight="1">
      <c r="B113" s="600"/>
      <c r="C113" s="350" t="s">
        <v>67</v>
      </c>
      <c r="D113" s="286"/>
      <c r="E113" s="286">
        <f>H64</f>
        <v>9.5579999999999998</v>
      </c>
      <c r="F113" s="134" t="s">
        <v>458</v>
      </c>
      <c r="G113" s="226">
        <v>0.1</v>
      </c>
      <c r="H113" s="375">
        <f>(E113*G113)+E113</f>
        <v>10.5138</v>
      </c>
    </row>
    <row r="114" spans="2:8" ht="15.95" customHeight="1">
      <c r="B114" s="600"/>
      <c r="C114" s="350" t="s">
        <v>75</v>
      </c>
      <c r="D114" s="304"/>
      <c r="E114" s="92">
        <f>SUM(H78:H82)</f>
        <v>9</v>
      </c>
      <c r="F114" s="254">
        <v>0.05</v>
      </c>
      <c r="G114" s="226">
        <v>0.3</v>
      </c>
      <c r="H114" s="376">
        <f>((E114*F114)*G114)+(E114*F114)</f>
        <v>0.58499999999999996</v>
      </c>
    </row>
    <row r="115" spans="2:8" ht="15.95" customHeight="1">
      <c r="B115" s="600"/>
      <c r="C115" s="350" t="s">
        <v>175</v>
      </c>
      <c r="D115" s="288"/>
      <c r="E115" s="288">
        <f>H91</f>
        <v>20</v>
      </c>
      <c r="F115" s="288">
        <v>0.15</v>
      </c>
      <c r="G115" s="289">
        <v>0.2</v>
      </c>
      <c r="H115" s="376">
        <f>((E115*F115)*G115)+(E115*F115)</f>
        <v>3.6</v>
      </c>
    </row>
    <row r="116" spans="2:8" ht="15.95" customHeight="1">
      <c r="B116" s="600"/>
      <c r="C116" s="350" t="s">
        <v>195</v>
      </c>
      <c r="D116" s="288"/>
      <c r="E116" s="288">
        <f>H93</f>
        <v>9.379999999999999</v>
      </c>
      <c r="F116" s="288">
        <v>0.05</v>
      </c>
      <c r="G116" s="289">
        <v>0.3</v>
      </c>
      <c r="H116" s="376">
        <f t="shared" ref="H116:H117" si="1">((E116*F116)*G116)+(E116*F116)</f>
        <v>0.60969999999999991</v>
      </c>
    </row>
    <row r="117" spans="2:8" ht="15.95" customHeight="1" thickBot="1">
      <c r="B117" s="600"/>
      <c r="C117" s="350" t="s">
        <v>196</v>
      </c>
      <c r="D117" s="288"/>
      <c r="E117" s="288">
        <f>H95</f>
        <v>28.35</v>
      </c>
      <c r="F117" s="288">
        <v>0.02</v>
      </c>
      <c r="G117" s="289">
        <v>0.3</v>
      </c>
      <c r="H117" s="376">
        <f t="shared" si="1"/>
        <v>0.73710000000000009</v>
      </c>
    </row>
    <row r="118" spans="2:8" ht="15" customHeight="1" thickBot="1">
      <c r="B118" s="596" t="str">
        <f>Orçamento!B33</f>
        <v>SERVIÇO EM TERRA / FUNDAÇÃO</v>
      </c>
      <c r="C118" s="597"/>
      <c r="D118" s="597"/>
      <c r="E118" s="597"/>
      <c r="F118" s="597"/>
      <c r="G118" s="597"/>
      <c r="H118" s="598"/>
    </row>
    <row r="119" spans="2:8" ht="15" customHeight="1">
      <c r="B119" s="601" t="str">
        <f>Orçamento!B34</f>
        <v>3.1</v>
      </c>
      <c r="C119" s="263" t="str">
        <f>Orçamento!E34</f>
        <v xml:space="preserve">ESCAVACAO MANUAL DE VALAS &lt; 1 MTS. (OBRAS CIVIS)  </v>
      </c>
      <c r="D119" s="235" t="s">
        <v>140</v>
      </c>
      <c r="E119" s="235" t="s">
        <v>168</v>
      </c>
      <c r="F119" s="235" t="s">
        <v>350</v>
      </c>
      <c r="G119" s="235" t="s">
        <v>169</v>
      </c>
      <c r="H119" s="351" t="s">
        <v>6</v>
      </c>
    </row>
    <row r="120" spans="2:8" ht="99" customHeight="1" thickBot="1">
      <c r="B120" s="602"/>
      <c r="C120" s="264" t="s">
        <v>441</v>
      </c>
      <c r="D120" s="545" t="s">
        <v>466</v>
      </c>
      <c r="E120" s="595"/>
      <c r="F120" s="339">
        <v>0.3</v>
      </c>
      <c r="G120" s="225">
        <v>0.4</v>
      </c>
      <c r="H120" s="378">
        <f>(138.2*F120)*G120</f>
        <v>16.584</v>
      </c>
    </row>
    <row r="121" spans="2:8" ht="15" customHeight="1">
      <c r="B121" s="601" t="str">
        <f>Orçamento!B35</f>
        <v>3.2</v>
      </c>
      <c r="C121" s="263" t="str">
        <f>Orçamento!E35</f>
        <v xml:space="preserve">REATERRO COM APILOAMENTO </v>
      </c>
      <c r="D121" s="235" t="s">
        <v>140</v>
      </c>
      <c r="E121" s="337" t="s">
        <v>168</v>
      </c>
      <c r="F121" s="337" t="s">
        <v>169</v>
      </c>
      <c r="G121" s="235" t="s">
        <v>350</v>
      </c>
      <c r="H121" s="351" t="s">
        <v>6</v>
      </c>
    </row>
    <row r="122" spans="2:8" ht="15" customHeight="1">
      <c r="B122" s="600"/>
      <c r="C122" s="384" t="s">
        <v>467</v>
      </c>
      <c r="D122" s="382"/>
      <c r="E122" s="385">
        <v>15.6</v>
      </c>
      <c r="F122" s="385">
        <v>8.5</v>
      </c>
      <c r="G122" s="387">
        <v>0.55000000000000004</v>
      </c>
      <c r="H122" s="354">
        <f>(F122*E122)*G122</f>
        <v>72.930000000000007</v>
      </c>
    </row>
    <row r="123" spans="2:8" ht="15.75" thickBot="1">
      <c r="B123" s="602"/>
      <c r="C123" s="379" t="s">
        <v>465</v>
      </c>
      <c r="D123" s="380"/>
      <c r="E123" s="386">
        <v>11.55</v>
      </c>
      <c r="F123" s="386">
        <v>2.35</v>
      </c>
      <c r="G123" s="388">
        <v>0.45</v>
      </c>
      <c r="H123" s="378">
        <f>(F123*E123)*G123</f>
        <v>12.214125000000001</v>
      </c>
    </row>
    <row r="124" spans="2:8">
      <c r="B124" s="601" t="str">
        <f>Orçamento!B36</f>
        <v>3.3</v>
      </c>
      <c r="C124" s="194" t="str">
        <f>Orçamento!E36</f>
        <v>ESTACA A TRADO DIAM.25 CM SEM FERRO</v>
      </c>
      <c r="D124" s="309" t="s">
        <v>142</v>
      </c>
      <c r="E124" s="309" t="s">
        <v>442</v>
      </c>
      <c r="F124" s="389" t="s">
        <v>168</v>
      </c>
      <c r="G124" s="310"/>
      <c r="H124" s="351" t="s">
        <v>6</v>
      </c>
    </row>
    <row r="125" spans="2:8" ht="15.75" thickBot="1">
      <c r="B125" s="602"/>
      <c r="C125" s="237"/>
      <c r="D125" s="347"/>
      <c r="E125" s="229">
        <v>15</v>
      </c>
      <c r="F125" s="390">
        <v>3</v>
      </c>
      <c r="G125" s="229"/>
      <c r="H125" s="378">
        <v>45</v>
      </c>
    </row>
    <row r="126" spans="2:8" ht="15" customHeight="1">
      <c r="B126" s="600" t="str">
        <f>Orçamento!B37</f>
        <v>3.4</v>
      </c>
      <c r="C126" s="204" t="str">
        <f>Orçamento!E37</f>
        <v>PREPARO COM BETONEIRA E TRANSPORTE MANUAL DE CONCRETO FCK-15 - (O.C.)</v>
      </c>
      <c r="D126" s="136" t="str">
        <f>Orçamento!G37</f>
        <v>m3</v>
      </c>
      <c r="E126" s="309" t="s">
        <v>442</v>
      </c>
      <c r="F126" s="389" t="s">
        <v>168</v>
      </c>
      <c r="G126" s="389" t="s">
        <v>468</v>
      </c>
      <c r="H126" s="360" t="s">
        <v>6</v>
      </c>
    </row>
    <row r="127" spans="2:8" ht="15.75" thickBot="1">
      <c r="B127" s="600"/>
      <c r="C127" s="393" t="s">
        <v>469</v>
      </c>
      <c r="D127" s="330"/>
      <c r="E127" s="229">
        <v>15</v>
      </c>
      <c r="F127" s="390">
        <v>3</v>
      </c>
      <c r="G127" s="229">
        <v>0.25</v>
      </c>
      <c r="H127" s="391">
        <f>((E127*F127)*G127)+(((E127*F127)*G127)*20%)</f>
        <v>13.5</v>
      </c>
    </row>
    <row r="128" spans="2:8">
      <c r="B128" s="601" t="str">
        <f>Orçamento!B38</f>
        <v>3.5</v>
      </c>
      <c r="C128" s="194" t="str">
        <f>Orçamento!E38</f>
        <v>ACO CA-50A - 6,3 MM (1/4") - (OBRAS CIVIS)</v>
      </c>
      <c r="D128" s="129" t="str">
        <f>Orçamento!G38</f>
        <v>kg</v>
      </c>
      <c r="E128" s="224" t="s">
        <v>457</v>
      </c>
      <c r="F128" s="224" t="s">
        <v>442</v>
      </c>
      <c r="G128" s="348"/>
      <c r="H128" s="351" t="s">
        <v>6</v>
      </c>
    </row>
    <row r="129" spans="2:8" ht="15.75" thickBot="1">
      <c r="B129" s="602"/>
      <c r="C129" s="395" t="s">
        <v>470</v>
      </c>
      <c r="D129" s="329"/>
      <c r="E129" s="398">
        <v>1.1000000000000001</v>
      </c>
      <c r="F129" s="397">
        <v>15</v>
      </c>
      <c r="G129" s="377"/>
      <c r="H129" s="378">
        <f>E129*F129</f>
        <v>16.5</v>
      </c>
    </row>
    <row r="130" spans="2:8" ht="15" customHeight="1">
      <c r="B130" s="600" t="str">
        <f>Orçamento!B39</f>
        <v>3.6</v>
      </c>
      <c r="C130" s="204" t="str">
        <f>Orçamento!E39</f>
        <v>ACO CA 50-A - 8,0 MM (5/16") - (OBRAS CIVIS)</v>
      </c>
      <c r="D130" s="136" t="str">
        <f>Orçamento!G39</f>
        <v>kg</v>
      </c>
      <c r="E130" s="97" t="s">
        <v>457</v>
      </c>
      <c r="F130" s="97" t="s">
        <v>442</v>
      </c>
      <c r="G130" s="346"/>
      <c r="H130" s="360" t="s">
        <v>6</v>
      </c>
    </row>
    <row r="131" spans="2:8" ht="15.75" thickBot="1">
      <c r="B131" s="600"/>
      <c r="C131" s="394" t="s">
        <v>471</v>
      </c>
      <c r="D131" s="330"/>
      <c r="E131" s="399">
        <v>3.11</v>
      </c>
      <c r="F131" s="396">
        <v>15</v>
      </c>
      <c r="G131" s="377"/>
      <c r="H131" s="391">
        <f>E131*F131</f>
        <v>46.65</v>
      </c>
    </row>
    <row r="132" spans="2:8">
      <c r="B132" s="601" t="str">
        <f>Orçamento!B40</f>
        <v>3.7</v>
      </c>
      <c r="C132" s="194" t="str">
        <f>Orçamento!E40</f>
        <v>ESCORAMENTO METALICO - VIGAS/LAJES (ALUGUEL/MES)</v>
      </c>
      <c r="D132" s="129" t="str">
        <f>Orçamento!G40</f>
        <v>m2</v>
      </c>
      <c r="E132" s="337" t="s">
        <v>168</v>
      </c>
      <c r="F132" s="337" t="s">
        <v>169</v>
      </c>
      <c r="G132" s="224" t="s">
        <v>472</v>
      </c>
      <c r="H132" s="351" t="s">
        <v>6</v>
      </c>
    </row>
    <row r="133" spans="2:8" ht="15">
      <c r="B133" s="600"/>
      <c r="C133" s="384" t="s">
        <v>467</v>
      </c>
      <c r="D133" s="382"/>
      <c r="E133" s="385">
        <v>15.6</v>
      </c>
      <c r="F133" s="385">
        <v>8.5</v>
      </c>
      <c r="G133" s="400">
        <v>1</v>
      </c>
      <c r="H133" s="354">
        <f>E133*F133*G133</f>
        <v>132.6</v>
      </c>
    </row>
    <row r="134" spans="2:8" ht="15.75" thickBot="1">
      <c r="B134" s="602"/>
      <c r="C134" s="379" t="s">
        <v>465</v>
      </c>
      <c r="D134" s="380"/>
      <c r="E134" s="386">
        <v>11.55</v>
      </c>
      <c r="F134" s="386">
        <v>2.35</v>
      </c>
      <c r="G134" s="401">
        <v>1</v>
      </c>
      <c r="H134" s="378">
        <f>E134*F134*G134</f>
        <v>27.142500000000002</v>
      </c>
    </row>
    <row r="135" spans="2:8">
      <c r="B135" s="601" t="str">
        <f>Orçamento!B41</f>
        <v>3.8</v>
      </c>
      <c r="C135" s="194" t="str">
        <f>Orçamento!E41</f>
        <v>ANDAIME METALICO TORRE (ALUGUEL/MES)</v>
      </c>
      <c r="D135" s="129" t="str">
        <f>Orçamento!G41</f>
        <v>m</v>
      </c>
      <c r="E135" s="258" t="s">
        <v>168</v>
      </c>
      <c r="F135" s="224" t="s">
        <v>472</v>
      </c>
      <c r="G135" s="259"/>
      <c r="H135" s="351" t="s">
        <v>6</v>
      </c>
    </row>
    <row r="136" spans="2:8" ht="15.75" thickBot="1">
      <c r="B136" s="602"/>
      <c r="C136" s="237"/>
      <c r="D136" s="329"/>
      <c r="E136" s="260">
        <v>20</v>
      </c>
      <c r="F136" s="397">
        <v>3</v>
      </c>
      <c r="G136" s="261"/>
      <c r="H136" s="378">
        <f>E136*F136</f>
        <v>60</v>
      </c>
    </row>
    <row r="137" spans="2:8">
      <c r="B137" s="600" t="str">
        <f>Orçamento!B42</f>
        <v>3.9</v>
      </c>
      <c r="C137" s="204" t="str">
        <f>Orçamento!E42</f>
        <v>FORMA- CH.COMPENSADA 12 MM UTILIZAÇÃO 3 VEZES - (OBRAS CIVIS)</v>
      </c>
      <c r="D137" s="136" t="str">
        <f>Orçamento!G42</f>
        <v>m2</v>
      </c>
      <c r="E137" s="256" t="s">
        <v>168</v>
      </c>
      <c r="F137" s="340" t="s">
        <v>169</v>
      </c>
      <c r="G137" s="224" t="s">
        <v>473</v>
      </c>
      <c r="H137" s="360" t="s">
        <v>6</v>
      </c>
    </row>
    <row r="138" spans="2:8">
      <c r="B138" s="600"/>
      <c r="C138" s="290" t="s">
        <v>453</v>
      </c>
      <c r="D138" s="211"/>
      <c r="E138" s="245">
        <v>3.55</v>
      </c>
      <c r="F138" s="212">
        <v>1.8</v>
      </c>
      <c r="G138" s="424">
        <v>3</v>
      </c>
      <c r="H138" s="404">
        <f>E138*F138/G138</f>
        <v>2.13</v>
      </c>
    </row>
    <row r="139" spans="2:8">
      <c r="B139" s="600"/>
      <c r="C139" s="384" t="s">
        <v>467</v>
      </c>
      <c r="D139" s="382"/>
      <c r="E139" s="385">
        <v>15.6</v>
      </c>
      <c r="F139" s="385">
        <v>8.5</v>
      </c>
      <c r="G139" s="402">
        <v>3</v>
      </c>
      <c r="H139" s="404">
        <f>E139*F139/G139</f>
        <v>44.199999999999996</v>
      </c>
    </row>
    <row r="140" spans="2:8" ht="15.75" thickBot="1">
      <c r="B140" s="600"/>
      <c r="C140" s="379" t="s">
        <v>465</v>
      </c>
      <c r="D140" s="380"/>
      <c r="E140" s="386">
        <v>11.55</v>
      </c>
      <c r="F140" s="386">
        <v>2.35</v>
      </c>
      <c r="G140" s="403">
        <v>3</v>
      </c>
      <c r="H140" s="391">
        <f>E140*F140/G140</f>
        <v>9.0475000000000012</v>
      </c>
    </row>
    <row r="141" spans="2:8" ht="15" customHeight="1">
      <c r="B141" s="601" t="str">
        <f>Orçamento!B43</f>
        <v>3.10</v>
      </c>
      <c r="C141" s="194" t="str">
        <f>Orçamento!E43</f>
        <v>FORRO EM LAJE PRE-MOLDADA INC.CAPEAMENTO/FERR.DISTRIB./ESCORAMENTO E FORMA/DESFORMA</v>
      </c>
      <c r="D141" s="235" t="str">
        <f>Orçamento!G43</f>
        <v>m2</v>
      </c>
      <c r="E141" s="338" t="s">
        <v>168</v>
      </c>
      <c r="F141" s="224" t="s">
        <v>169</v>
      </c>
      <c r="G141" s="348"/>
      <c r="H141" s="351" t="s">
        <v>6</v>
      </c>
    </row>
    <row r="142" spans="2:8" ht="15" customHeight="1">
      <c r="B142" s="600"/>
      <c r="C142" s="290" t="s">
        <v>453</v>
      </c>
      <c r="D142" s="211"/>
      <c r="E142" s="245">
        <v>3.55</v>
      </c>
      <c r="F142" s="212">
        <v>1.8</v>
      </c>
      <c r="G142" s="464"/>
      <c r="H142" s="404">
        <f>E142*F142</f>
        <v>6.39</v>
      </c>
    </row>
    <row r="143" spans="2:8" ht="15" customHeight="1">
      <c r="B143" s="600"/>
      <c r="C143" s="384" t="s">
        <v>467</v>
      </c>
      <c r="D143" s="382"/>
      <c r="E143" s="385">
        <v>15.6</v>
      </c>
      <c r="F143" s="385">
        <v>8.5</v>
      </c>
      <c r="G143" s="266"/>
      <c r="H143" s="404">
        <f>E143*F143</f>
        <v>132.6</v>
      </c>
    </row>
    <row r="144" spans="2:8" ht="13.5" thickBot="1">
      <c r="B144" s="602"/>
      <c r="C144" s="379" t="s">
        <v>465</v>
      </c>
      <c r="D144" s="380"/>
      <c r="E144" s="386">
        <v>11.55</v>
      </c>
      <c r="F144" s="386">
        <v>2.35</v>
      </c>
      <c r="G144" s="405"/>
      <c r="H144" s="404">
        <f>E144*F144</f>
        <v>27.142500000000002</v>
      </c>
    </row>
    <row r="145" spans="2:8" ht="15" customHeight="1" thickBot="1">
      <c r="B145" s="596" t="str">
        <f>Orçamento!B45</f>
        <v>INSTALAÇÃO ELÉTRICA</v>
      </c>
      <c r="C145" s="597"/>
      <c r="D145" s="597"/>
      <c r="E145" s="597"/>
      <c r="F145" s="597"/>
      <c r="G145" s="597"/>
      <c r="H145" s="598"/>
    </row>
    <row r="146" spans="2:8" ht="15" customHeight="1">
      <c r="B146" s="601" t="str">
        <f>Orçamento!B46</f>
        <v>4.1</v>
      </c>
      <c r="C146" s="194" t="str">
        <f>Orçamento!E46</f>
        <v>CABO FLEXIVEL PARALELO 2 X 1,5 MM2</v>
      </c>
      <c r="D146" s="129" t="str">
        <f>Orçamento!G46</f>
        <v>m</v>
      </c>
      <c r="E146" s="543"/>
      <c r="F146" s="547"/>
      <c r="G146" s="544"/>
      <c r="H146" s="360" t="s">
        <v>6</v>
      </c>
    </row>
    <row r="147" spans="2:8" ht="15.95" customHeight="1" thickBot="1">
      <c r="B147" s="600"/>
      <c r="C147" s="227"/>
      <c r="D147" s="586"/>
      <c r="E147" s="582"/>
      <c r="F147" s="582"/>
      <c r="G147" s="587"/>
      <c r="H147" s="406">
        <v>180</v>
      </c>
    </row>
    <row r="148" spans="2:8">
      <c r="B148" s="601" t="str">
        <f>Orçamento!B47</f>
        <v>4.2</v>
      </c>
      <c r="C148" s="194" t="str">
        <f>Orçamento!E47</f>
        <v>CABO ISOLADO PVC 750 V. No. 2,5 MM2</v>
      </c>
      <c r="D148" s="129" t="str">
        <f>Orçamento!G47</f>
        <v>m</v>
      </c>
      <c r="E148" s="543"/>
      <c r="F148" s="547"/>
      <c r="G148" s="544"/>
      <c r="H148" s="351" t="s">
        <v>6</v>
      </c>
    </row>
    <row r="149" spans="2:8" ht="15.75" thickBot="1">
      <c r="B149" s="602"/>
      <c r="C149" s="228"/>
      <c r="D149" s="586"/>
      <c r="E149" s="582"/>
      <c r="F149" s="582"/>
      <c r="G149" s="587"/>
      <c r="H149" s="359">
        <v>32</v>
      </c>
    </row>
    <row r="150" spans="2:8">
      <c r="B150" s="601" t="str">
        <f>Orçamento!B48</f>
        <v>4.3</v>
      </c>
      <c r="C150" s="194" t="str">
        <f>Orçamento!E48</f>
        <v>CAIXA METALICA RET. 4" X 2" X 2"</v>
      </c>
      <c r="D150" s="129" t="str">
        <f>Orçamento!G48</f>
        <v>unid.</v>
      </c>
      <c r="E150" s="543"/>
      <c r="F150" s="547"/>
      <c r="G150" s="544"/>
      <c r="H150" s="351" t="s">
        <v>6</v>
      </c>
    </row>
    <row r="151" spans="2:8" ht="15.75" thickBot="1">
      <c r="B151" s="602"/>
      <c r="C151" s="247"/>
      <c r="D151" s="586"/>
      <c r="E151" s="582"/>
      <c r="F151" s="582"/>
      <c r="G151" s="587"/>
      <c r="H151" s="408">
        <v>4</v>
      </c>
    </row>
    <row r="152" spans="2:8">
      <c r="B152" s="600" t="str">
        <f>Orçamento!B49</f>
        <v>4.4</v>
      </c>
      <c r="C152" s="204" t="str">
        <f>Orçamento!E49</f>
        <v>CONECTOR TRIPOLAR EM PORCELANA PARA FIOS DE ATÉ 10MM2 (BORNES) 50A-250V (CHUVEIRO)</v>
      </c>
      <c r="D152" s="136" t="str">
        <f>Orçamento!G49</f>
        <v>unid.</v>
      </c>
      <c r="E152" s="603"/>
      <c r="F152" s="604"/>
      <c r="G152" s="605"/>
      <c r="H152" s="360" t="s">
        <v>6</v>
      </c>
    </row>
    <row r="153" spans="2:8" ht="15.75" thickBot="1">
      <c r="B153" s="600"/>
      <c r="C153" s="227"/>
      <c r="D153" s="586"/>
      <c r="E153" s="582"/>
      <c r="F153" s="582"/>
      <c r="G153" s="587"/>
      <c r="H153" s="362">
        <v>4</v>
      </c>
    </row>
    <row r="154" spans="2:8">
      <c r="B154" s="601" t="str">
        <f>Orçamento!B50</f>
        <v>4.5</v>
      </c>
      <c r="C154" s="194" t="str">
        <f>Orçamento!E50</f>
        <v>DISJUNTOR MONOPOLAR DE 10 A 32-A</v>
      </c>
      <c r="D154" s="129" t="str">
        <f>Orçamento!G50</f>
        <v>unid.</v>
      </c>
      <c r="E154" s="543"/>
      <c r="F154" s="547"/>
      <c r="G154" s="544"/>
      <c r="H154" s="351" t="s">
        <v>6</v>
      </c>
    </row>
    <row r="155" spans="2:8" ht="15.75" thickBot="1">
      <c r="B155" s="602"/>
      <c r="C155" s="230"/>
      <c r="D155" s="586"/>
      <c r="E155" s="582"/>
      <c r="F155" s="582"/>
      <c r="G155" s="587"/>
      <c r="H155" s="408">
        <v>2</v>
      </c>
    </row>
    <row r="156" spans="2:8">
      <c r="B156" s="601" t="str">
        <f>Orçamento!B51</f>
        <v>4.6</v>
      </c>
      <c r="C156" s="194" t="str">
        <f>Orçamento!E51</f>
        <v>ELETRODUTO PVC FLEXÍVEL - MANGUEIRA CORRUGADA LEVE - DIAM. 25MM</v>
      </c>
      <c r="D156" s="129" t="str">
        <f>Orçamento!G51</f>
        <v>m</v>
      </c>
      <c r="E156" s="543"/>
      <c r="F156" s="547"/>
      <c r="G156" s="544"/>
      <c r="H156" s="351" t="s">
        <v>6</v>
      </c>
    </row>
    <row r="157" spans="2:8" ht="15.75" thickBot="1">
      <c r="B157" s="602"/>
      <c r="C157" s="231"/>
      <c r="D157" s="586"/>
      <c r="E157" s="582"/>
      <c r="F157" s="582"/>
      <c r="G157" s="587"/>
      <c r="H157" s="359">
        <v>210</v>
      </c>
    </row>
    <row r="158" spans="2:8">
      <c r="B158" s="601" t="str">
        <f>Orçamento!B52</f>
        <v>4.7</v>
      </c>
      <c r="C158" s="194" t="str">
        <f>Orçamento!E52</f>
        <v>FIO ISOLADO PVC 750 V, No. 1,5 MM2</v>
      </c>
      <c r="D158" s="129" t="str">
        <f>Orçamento!G52</f>
        <v>m</v>
      </c>
      <c r="E158" s="543"/>
      <c r="F158" s="547"/>
      <c r="G158" s="544"/>
      <c r="H158" s="351" t="s">
        <v>6</v>
      </c>
    </row>
    <row r="159" spans="2:8" ht="15.75" thickBot="1">
      <c r="B159" s="602"/>
      <c r="C159" s="231"/>
      <c r="D159" s="586"/>
      <c r="E159" s="582"/>
      <c r="F159" s="582"/>
      <c r="G159" s="587"/>
      <c r="H159" s="359">
        <v>30</v>
      </c>
    </row>
    <row r="160" spans="2:8">
      <c r="B160" s="601" t="str">
        <f>Orçamento!B53</f>
        <v>4.8</v>
      </c>
      <c r="C160" s="194" t="str">
        <f>Orçamento!E53</f>
        <v>FITA ISOLANTE, ROLO DE 20,00 M</v>
      </c>
      <c r="D160" s="129" t="str">
        <f>Orçamento!G53</f>
        <v>unid.</v>
      </c>
      <c r="E160" s="543"/>
      <c r="F160" s="547"/>
      <c r="G160" s="544"/>
      <c r="H160" s="351" t="s">
        <v>6</v>
      </c>
    </row>
    <row r="161" spans="2:8" ht="15.75" thickBot="1">
      <c r="B161" s="602"/>
      <c r="C161" s="231"/>
      <c r="D161" s="586"/>
      <c r="E161" s="582"/>
      <c r="F161" s="582"/>
      <c r="G161" s="587"/>
      <c r="H161" s="408">
        <v>5</v>
      </c>
    </row>
    <row r="162" spans="2:8">
      <c r="B162" s="600" t="str">
        <f>Orçamento!B54</f>
        <v>4.9</v>
      </c>
      <c r="C162" s="204" t="str">
        <f>Orçamento!E54</f>
        <v>INTERRUPTOR SIMPLES (1 SECAO)</v>
      </c>
      <c r="D162" s="136" t="str">
        <f>Orçamento!G54</f>
        <v>unid.</v>
      </c>
      <c r="E162" s="603"/>
      <c r="F162" s="604"/>
      <c r="G162" s="605"/>
      <c r="H162" s="360" t="s">
        <v>6</v>
      </c>
    </row>
    <row r="163" spans="2:8" ht="51.75" thickBot="1">
      <c r="B163" s="600"/>
      <c r="C163" s="291" t="s">
        <v>422</v>
      </c>
      <c r="D163" s="586"/>
      <c r="E163" s="582"/>
      <c r="F163" s="582"/>
      <c r="G163" s="587"/>
      <c r="H163" s="362">
        <v>18</v>
      </c>
    </row>
    <row r="164" spans="2:8">
      <c r="B164" s="601" t="str">
        <f>Orçamento!B55</f>
        <v>4.10</v>
      </c>
      <c r="C164" s="232" t="str">
        <f>Orçamento!E55</f>
        <v>LAMPADA VAPOR METALICO OVOIDE 250W</v>
      </c>
      <c r="D164" s="129" t="str">
        <f>Orçamento!G55</f>
        <v>unid.</v>
      </c>
      <c r="E164" s="543"/>
      <c r="F164" s="547"/>
      <c r="G164" s="544"/>
      <c r="H164" s="351" t="s">
        <v>6</v>
      </c>
    </row>
    <row r="165" spans="2:8" ht="15.75" thickBot="1">
      <c r="B165" s="602"/>
      <c r="C165" s="411" t="s">
        <v>474</v>
      </c>
      <c r="D165" s="586"/>
      <c r="E165" s="582"/>
      <c r="F165" s="582"/>
      <c r="G165" s="587"/>
      <c r="H165" s="408">
        <v>2</v>
      </c>
    </row>
    <row r="166" spans="2:8">
      <c r="B166" s="601" t="str">
        <f>Orçamento!B56</f>
        <v>4.11</v>
      </c>
      <c r="C166" s="194" t="str">
        <f>Orçamento!E56</f>
        <v>LÂMPADA FLUORESCENTE TUBULAR T5 DE 14 W</v>
      </c>
      <c r="D166" s="129" t="str">
        <f>Orçamento!G56</f>
        <v>unid.</v>
      </c>
      <c r="E166" s="543"/>
      <c r="F166" s="547"/>
      <c r="G166" s="544"/>
      <c r="H166" s="351" t="s">
        <v>6</v>
      </c>
    </row>
    <row r="167" spans="2:8" ht="39" thickBot="1">
      <c r="B167" s="602"/>
      <c r="C167" s="409" t="s">
        <v>477</v>
      </c>
      <c r="D167" s="586"/>
      <c r="E167" s="582"/>
      <c r="F167" s="582"/>
      <c r="G167" s="587"/>
      <c r="H167" s="408">
        <v>38</v>
      </c>
    </row>
    <row r="168" spans="2:8">
      <c r="B168" s="600" t="str">
        <f>Orçamento!B57</f>
        <v>4.12</v>
      </c>
      <c r="C168" s="204" t="str">
        <f>Orçamento!E57</f>
        <v>LAMPADA COMPACTA ELETRÔNICA COM REATOR INTEGRADO 15 W</v>
      </c>
      <c r="D168" s="136" t="str">
        <f>Orçamento!G57</f>
        <v>unid.</v>
      </c>
      <c r="E168" s="603"/>
      <c r="F168" s="604"/>
      <c r="G168" s="605"/>
      <c r="H168" s="360" t="s">
        <v>6</v>
      </c>
    </row>
    <row r="169" spans="2:8" ht="26.25" thickBot="1">
      <c r="B169" s="600"/>
      <c r="C169" s="291" t="s">
        <v>424</v>
      </c>
      <c r="D169" s="586"/>
      <c r="E169" s="582"/>
      <c r="F169" s="582"/>
      <c r="G169" s="587"/>
      <c r="H169" s="362">
        <v>4</v>
      </c>
    </row>
    <row r="170" spans="2:8">
      <c r="B170" s="601" t="str">
        <f>Orçamento!B58</f>
        <v>4.13</v>
      </c>
      <c r="C170" s="194" t="str">
        <f>Orçamento!E58</f>
        <v>LUMINÁRIA TIPO ARANDELA DE USO EXTERNO BLINDADA COM GRADE ( MÉDIA ) - BASE E-27</v>
      </c>
      <c r="D170" s="129" t="str">
        <f>Orçamento!G58</f>
        <v>unid.</v>
      </c>
      <c r="E170" s="543"/>
      <c r="F170" s="547"/>
      <c r="G170" s="544"/>
      <c r="H170" s="351" t="s">
        <v>6</v>
      </c>
    </row>
    <row r="171" spans="2:8" ht="15.75" thickBot="1">
      <c r="B171" s="602"/>
      <c r="C171" s="411" t="s">
        <v>423</v>
      </c>
      <c r="D171" s="586"/>
      <c r="E171" s="582"/>
      <c r="F171" s="582"/>
      <c r="G171" s="587"/>
      <c r="H171" s="408">
        <v>4</v>
      </c>
    </row>
    <row r="172" spans="2:8">
      <c r="B172" s="601" t="str">
        <f>Orçamento!B59</f>
        <v>4.14</v>
      </c>
      <c r="C172" s="194" t="str">
        <f>Orçamento!E59</f>
        <v>LUMINÁRIA DE SOBREPOR COM REFLETOR DE ALUMÍNIO E ALETAS 2X14W</v>
      </c>
      <c r="D172" s="129" t="str">
        <f>Orçamento!G59</f>
        <v>unid.</v>
      </c>
      <c r="E172" s="543"/>
      <c r="F172" s="547"/>
      <c r="G172" s="544"/>
      <c r="H172" s="351" t="s">
        <v>6</v>
      </c>
    </row>
    <row r="173" spans="2:8" ht="29.1" customHeight="1" thickBot="1">
      <c r="B173" s="602"/>
      <c r="C173" s="409" t="s">
        <v>476</v>
      </c>
      <c r="D173" s="586"/>
      <c r="E173" s="582"/>
      <c r="F173" s="582"/>
      <c r="G173" s="587"/>
      <c r="H173" s="408">
        <v>19</v>
      </c>
    </row>
    <row r="174" spans="2:8">
      <c r="B174" s="600" t="str">
        <f>Orçamento!B60</f>
        <v>4.15</v>
      </c>
      <c r="C174" s="204" t="str">
        <f>Orçamento!E60</f>
        <v>LUMINÁRIA TIPO PROJETOR RETANGULAR ATÉ 400 W - BASE E-40</v>
      </c>
      <c r="D174" s="136" t="str">
        <f>Orçamento!G60</f>
        <v>unid.</v>
      </c>
      <c r="E174" s="603"/>
      <c r="F174" s="604"/>
      <c r="G174" s="605"/>
      <c r="H174" s="360" t="s">
        <v>6</v>
      </c>
    </row>
    <row r="175" spans="2:8" ht="15.75" thickBot="1">
      <c r="B175" s="600"/>
      <c r="C175" s="290" t="s">
        <v>423</v>
      </c>
      <c r="D175" s="586"/>
      <c r="E175" s="582"/>
      <c r="F175" s="582"/>
      <c r="G175" s="587"/>
      <c r="H175" s="362">
        <v>2</v>
      </c>
    </row>
    <row r="176" spans="2:8">
      <c r="B176" s="601" t="str">
        <f>Orçamento!B61</f>
        <v>4.16</v>
      </c>
      <c r="C176" s="194" t="str">
        <f>Orçamento!E61</f>
        <v>QUADRO DE DISTRIBUIÇÃO DE EMBUTIR EM PVC CB 12E - 80A</v>
      </c>
      <c r="D176" s="129" t="str">
        <f>Orçamento!G61</f>
        <v>unid.</v>
      </c>
      <c r="E176" s="543"/>
      <c r="F176" s="547"/>
      <c r="G176" s="544"/>
      <c r="H176" s="351" t="s">
        <v>6</v>
      </c>
    </row>
    <row r="177" spans="2:8" ht="15.75" thickBot="1">
      <c r="B177" s="602"/>
      <c r="C177" s="231"/>
      <c r="D177" s="586"/>
      <c r="E177" s="582"/>
      <c r="F177" s="582"/>
      <c r="G177" s="587"/>
      <c r="H177" s="408">
        <v>1</v>
      </c>
    </row>
    <row r="178" spans="2:8">
      <c r="B178" s="600" t="str">
        <f>Orçamento!B62</f>
        <v>4.17</v>
      </c>
      <c r="C178" s="204" t="str">
        <f>Orçamento!E62</f>
        <v>REATOR AFP USO EXTERNO V.METALICO 250 W</v>
      </c>
      <c r="D178" s="136" t="str">
        <f>Orçamento!G62</f>
        <v>unid.</v>
      </c>
      <c r="E178" s="603"/>
      <c r="F178" s="604"/>
      <c r="G178" s="605"/>
      <c r="H178" s="360" t="s">
        <v>6</v>
      </c>
    </row>
    <row r="179" spans="2:8" ht="15.75" thickBot="1">
      <c r="B179" s="600"/>
      <c r="C179" s="393" t="s">
        <v>475</v>
      </c>
      <c r="D179" s="586"/>
      <c r="E179" s="582"/>
      <c r="F179" s="582"/>
      <c r="G179" s="587"/>
      <c r="H179" s="362">
        <v>2</v>
      </c>
    </row>
    <row r="180" spans="2:8">
      <c r="B180" s="601" t="str">
        <f>Orçamento!B63</f>
        <v>4.18</v>
      </c>
      <c r="C180" s="194" t="str">
        <f>Orçamento!E63</f>
        <v>RELE FOTO ELETRICO COM BASE</v>
      </c>
      <c r="D180" s="129" t="str">
        <f>Orçamento!G63</f>
        <v>unid.</v>
      </c>
      <c r="E180" s="543"/>
      <c r="F180" s="547"/>
      <c r="G180" s="544"/>
      <c r="H180" s="351" t="s">
        <v>6</v>
      </c>
    </row>
    <row r="181" spans="2:8" ht="15.75" thickBot="1">
      <c r="B181" s="602"/>
      <c r="C181" s="231"/>
      <c r="D181" s="586"/>
      <c r="E181" s="582"/>
      <c r="F181" s="582"/>
      <c r="G181" s="587"/>
      <c r="H181" s="408">
        <v>1</v>
      </c>
    </row>
    <row r="182" spans="2:8">
      <c r="B182" s="601" t="str">
        <f>Orçamento!B64</f>
        <v>4.19</v>
      </c>
      <c r="C182" s="194" t="str">
        <f>Orçamento!E64</f>
        <v>TOMADA HEXAGONAL 2P + T - 10A - 250V</v>
      </c>
      <c r="D182" s="129" t="str">
        <f>Orçamento!G64</f>
        <v>unid.</v>
      </c>
      <c r="E182" s="543"/>
      <c r="F182" s="547"/>
      <c r="G182" s="544"/>
      <c r="H182" s="351" t="s">
        <v>6</v>
      </c>
    </row>
    <row r="183" spans="2:8" ht="39" thickBot="1">
      <c r="B183" s="602"/>
      <c r="C183" s="409" t="s">
        <v>425</v>
      </c>
      <c r="D183" s="586"/>
      <c r="E183" s="582"/>
      <c r="F183" s="582"/>
      <c r="G183" s="587"/>
      <c r="H183" s="408">
        <v>29</v>
      </c>
    </row>
    <row r="184" spans="2:8">
      <c r="B184" s="601" t="str">
        <f>Orçamento!B65</f>
        <v>4.20</v>
      </c>
      <c r="C184" s="194" t="str">
        <f>Orçamento!E65</f>
        <v>TOMADA HEXAGONAL 2P + T - 20A - 250V</v>
      </c>
      <c r="D184" s="129" t="str">
        <f>Orçamento!G65</f>
        <v>unid.</v>
      </c>
      <c r="E184" s="543"/>
      <c r="F184" s="547"/>
      <c r="G184" s="544"/>
      <c r="H184" s="351" t="s">
        <v>6</v>
      </c>
    </row>
    <row r="185" spans="2:8" ht="39" thickBot="1">
      <c r="B185" s="602"/>
      <c r="C185" s="409" t="s">
        <v>426</v>
      </c>
      <c r="D185" s="586"/>
      <c r="E185" s="582"/>
      <c r="F185" s="582"/>
      <c r="G185" s="587"/>
      <c r="H185" s="408">
        <v>20</v>
      </c>
    </row>
    <row r="186" spans="2:8" ht="15" customHeight="1" thickBot="1">
      <c r="B186" s="596" t="str">
        <f>Orçamento!B67</f>
        <v>INSTALAÇÃO HIDRO-SANITÁRIA / ESGOTO</v>
      </c>
      <c r="C186" s="597"/>
      <c r="D186" s="597"/>
      <c r="E186" s="597"/>
      <c r="F186" s="597"/>
      <c r="G186" s="597"/>
      <c r="H186" s="598"/>
    </row>
    <row r="187" spans="2:8">
      <c r="B187" s="599" t="str">
        <f>Orçamento!B68</f>
        <v>5.1</v>
      </c>
      <c r="C187" s="195" t="str">
        <f>Orçamento!E68</f>
        <v>VASO SANITARIO</v>
      </c>
      <c r="D187" s="128" t="str">
        <f>Orçamento!G68</f>
        <v>unid.</v>
      </c>
      <c r="E187" s="543"/>
      <c r="F187" s="547"/>
      <c r="G187" s="544"/>
      <c r="H187" s="360" t="s">
        <v>6</v>
      </c>
    </row>
    <row r="188" spans="2:8" ht="26.25" thickBot="1">
      <c r="B188" s="600"/>
      <c r="C188" s="291" t="s">
        <v>427</v>
      </c>
      <c r="D188" s="586"/>
      <c r="E188" s="582"/>
      <c r="F188" s="582"/>
      <c r="G188" s="587"/>
      <c r="H188" s="362">
        <v>14</v>
      </c>
    </row>
    <row r="189" spans="2:8">
      <c r="B189" s="601" t="str">
        <f>Orçamento!B69</f>
        <v>5.2</v>
      </c>
      <c r="C189" s="194" t="str">
        <f>Orçamento!E69</f>
        <v>ANEL DE VEDAÇÃO PARA VASO SANITÁRIO</v>
      </c>
      <c r="D189" s="233" t="str">
        <f>Orçamento!G69</f>
        <v>unid.</v>
      </c>
      <c r="E189" s="543"/>
      <c r="F189" s="547"/>
      <c r="G189" s="544"/>
      <c r="H189" s="351" t="s">
        <v>6</v>
      </c>
    </row>
    <row r="190" spans="2:8" ht="26.25" thickBot="1">
      <c r="B190" s="602"/>
      <c r="C190" s="293" t="s">
        <v>427</v>
      </c>
      <c r="D190" s="586"/>
      <c r="E190" s="582"/>
      <c r="F190" s="582"/>
      <c r="G190" s="587"/>
      <c r="H190" s="408">
        <v>14</v>
      </c>
    </row>
    <row r="191" spans="2:8">
      <c r="B191" s="600" t="str">
        <f>Orçamento!B70</f>
        <v>5.3</v>
      </c>
      <c r="C191" s="204" t="str">
        <f>Orçamento!E70</f>
        <v>TUBO PARA VÁLVULA DE DESCARGA ( CURTO 1.1/4" )</v>
      </c>
      <c r="D191" s="135" t="str">
        <f>Orçamento!G70</f>
        <v>unid.</v>
      </c>
      <c r="E191" s="603"/>
      <c r="F191" s="604"/>
      <c r="G191" s="605"/>
      <c r="H191" s="360" t="s">
        <v>6</v>
      </c>
    </row>
    <row r="192" spans="2:8" ht="26.25" thickBot="1">
      <c r="B192" s="600"/>
      <c r="C192" s="437" t="s">
        <v>427</v>
      </c>
      <c r="D192" s="586"/>
      <c r="E192" s="582"/>
      <c r="F192" s="582"/>
      <c r="G192" s="587"/>
      <c r="H192" s="362">
        <v>14</v>
      </c>
    </row>
    <row r="193" spans="2:8" ht="25.5">
      <c r="B193" s="601" t="str">
        <f>Orçamento!B71</f>
        <v>5.4</v>
      </c>
      <c r="C193" s="232" t="str">
        <f>Orçamento!E71</f>
        <v>VÁLVULA DE DESCARGA COM SISTEMA PASSANTE EM POLÍMERO - OPÇÃO ECONÔMICA (ALTA SEGURANÇA)</v>
      </c>
      <c r="D193" s="233" t="str">
        <f>Orçamento!G71</f>
        <v>unid.</v>
      </c>
      <c r="E193" s="588"/>
      <c r="F193" s="589"/>
      <c r="G193" s="590"/>
      <c r="H193" s="351" t="s">
        <v>6</v>
      </c>
    </row>
    <row r="194" spans="2:8" ht="26.25" thickBot="1">
      <c r="B194" s="602"/>
      <c r="C194" s="293" t="s">
        <v>427</v>
      </c>
      <c r="D194" s="586"/>
      <c r="E194" s="582"/>
      <c r="F194" s="582"/>
      <c r="G194" s="587"/>
      <c r="H194" s="408">
        <v>14</v>
      </c>
    </row>
    <row r="195" spans="2:8">
      <c r="B195" s="601" t="str">
        <f>Orçamento!B72</f>
        <v>5.5</v>
      </c>
      <c r="C195" s="194" t="str">
        <f>Orçamento!E72</f>
        <v>CONJUNTO DE FIXACAO P/VASO SANITARIO (PAR)</v>
      </c>
      <c r="D195" s="233" t="str">
        <f>Orçamento!G72</f>
        <v>cj.</v>
      </c>
      <c r="E195" s="588"/>
      <c r="F195" s="589"/>
      <c r="G195" s="590"/>
      <c r="H195" s="351" t="s">
        <v>6</v>
      </c>
    </row>
    <row r="196" spans="2:8" ht="26.25" thickBot="1">
      <c r="B196" s="602"/>
      <c r="C196" s="293" t="s">
        <v>427</v>
      </c>
      <c r="D196" s="586"/>
      <c r="E196" s="582"/>
      <c r="F196" s="582"/>
      <c r="G196" s="587"/>
      <c r="H196" s="408">
        <v>14</v>
      </c>
    </row>
    <row r="197" spans="2:8">
      <c r="B197" s="601" t="str">
        <f>Orçamento!B73</f>
        <v>5.6</v>
      </c>
      <c r="C197" s="194" t="str">
        <f>Orçamento!E73</f>
        <v>PORTA PAPEL HIGIÊNICO EM METAL/ACABAMENTO CROMADO</v>
      </c>
      <c r="D197" s="233" t="str">
        <f>Orçamento!G73</f>
        <v>unid.</v>
      </c>
      <c r="E197" s="543"/>
      <c r="F197" s="547"/>
      <c r="G197" s="544"/>
      <c r="H197" s="351" t="s">
        <v>6</v>
      </c>
    </row>
    <row r="198" spans="2:8" ht="26.25" thickBot="1">
      <c r="B198" s="602"/>
      <c r="C198" s="293" t="s">
        <v>427</v>
      </c>
      <c r="D198" s="586"/>
      <c r="E198" s="582"/>
      <c r="F198" s="582"/>
      <c r="G198" s="587"/>
      <c r="H198" s="412">
        <v>14</v>
      </c>
    </row>
    <row r="199" spans="2:8">
      <c r="B199" s="600" t="str">
        <f>Orçamento!B74</f>
        <v>5.7</v>
      </c>
      <c r="C199" s="204" t="str">
        <f>Orçamento!E74</f>
        <v>LIGAÇÃO FLEXÍVEL PVC DIAM.1/2" (ENGATE)</v>
      </c>
      <c r="D199" s="135" t="str">
        <f>Orçamento!G74</f>
        <v>unid.</v>
      </c>
      <c r="E199" s="591"/>
      <c r="F199" s="592"/>
      <c r="G199" s="593"/>
      <c r="H199" s="360" t="s">
        <v>6</v>
      </c>
    </row>
    <row r="200" spans="2:8" ht="39" thickBot="1">
      <c r="B200" s="600"/>
      <c r="C200" s="293" t="s">
        <v>428</v>
      </c>
      <c r="D200" s="586"/>
      <c r="E200" s="582"/>
      <c r="F200" s="582"/>
      <c r="G200" s="587"/>
      <c r="H200" s="362">
        <v>16</v>
      </c>
    </row>
    <row r="201" spans="2:8">
      <c r="B201" s="601" t="str">
        <f>Orçamento!B75</f>
        <v>5.8</v>
      </c>
      <c r="C201" s="194" t="str">
        <f>Orçamento!E75</f>
        <v>SIFAO FLEXIVEL UNIVERSAL ( SANFONADO) EM PVC PARA LAVATORIO</v>
      </c>
      <c r="D201" s="233" t="str">
        <f>Orçamento!G75</f>
        <v>unid.</v>
      </c>
      <c r="E201" s="588"/>
      <c r="F201" s="589"/>
      <c r="G201" s="590"/>
      <c r="H201" s="351" t="s">
        <v>6</v>
      </c>
    </row>
    <row r="202" spans="2:8" ht="39" thickBot="1">
      <c r="B202" s="602"/>
      <c r="C202" s="293" t="s">
        <v>429</v>
      </c>
      <c r="D202" s="586"/>
      <c r="E202" s="582"/>
      <c r="F202" s="582"/>
      <c r="G202" s="587"/>
      <c r="H202" s="408">
        <v>15</v>
      </c>
    </row>
    <row r="203" spans="2:8">
      <c r="B203" s="600" t="str">
        <f>Orçamento!B76</f>
        <v>5.9</v>
      </c>
      <c r="C203" s="204" t="str">
        <f>Orçamento!E76</f>
        <v>TORNEIRA DE MESA COM FECHAMENTO AUTOMÁTICO TEMPORIZADO PARA LAVATÓRIO DIÂMETRO DE 1/2"</v>
      </c>
      <c r="D203" s="135" t="str">
        <f>Orçamento!G76</f>
        <v>unid.</v>
      </c>
      <c r="E203" s="603"/>
      <c r="F203" s="604"/>
      <c r="G203" s="605"/>
      <c r="H203" s="360" t="s">
        <v>6</v>
      </c>
    </row>
    <row r="204" spans="2:8" ht="39" thickBot="1">
      <c r="B204" s="600"/>
      <c r="C204" s="293" t="s">
        <v>429</v>
      </c>
      <c r="D204" s="586"/>
      <c r="E204" s="582"/>
      <c r="F204" s="582"/>
      <c r="G204" s="587"/>
      <c r="H204" s="413">
        <v>15</v>
      </c>
    </row>
    <row r="205" spans="2:8">
      <c r="B205" s="601" t="str">
        <f>Orçamento!B77</f>
        <v>5.10</v>
      </c>
      <c r="C205" s="194" t="str">
        <f>Orçamento!E77</f>
        <v>CUBA DE LOUCA DE EMBUTIR OVAL MÉDIA</v>
      </c>
      <c r="D205" s="233" t="str">
        <f>Orçamento!G77</f>
        <v>unid.</v>
      </c>
      <c r="E205" s="588"/>
      <c r="F205" s="589"/>
      <c r="G205" s="590"/>
      <c r="H205" s="351" t="s">
        <v>6</v>
      </c>
    </row>
    <row r="206" spans="2:8" ht="39" thickBot="1">
      <c r="B206" s="602"/>
      <c r="C206" s="293" t="s">
        <v>429</v>
      </c>
      <c r="D206" s="586"/>
      <c r="E206" s="582"/>
      <c r="F206" s="582"/>
      <c r="G206" s="587"/>
      <c r="H206" s="408">
        <v>15</v>
      </c>
    </row>
    <row r="207" spans="2:8">
      <c r="B207" s="601" t="str">
        <f>Orçamento!B78</f>
        <v>5.11</v>
      </c>
      <c r="C207" s="194" t="str">
        <f>Orçamento!E78</f>
        <v>PIA MÁRMORE/GRANITO SINTÉTICO 1,20X0,54 M</v>
      </c>
      <c r="D207" s="233" t="str">
        <f>Orçamento!G78</f>
        <v>unid.</v>
      </c>
      <c r="E207" s="588"/>
      <c r="F207" s="589"/>
      <c r="G207" s="590"/>
      <c r="H207" s="351" t="s">
        <v>6</v>
      </c>
    </row>
    <row r="208" spans="2:8" ht="26.25" thickBot="1">
      <c r="B208" s="602"/>
      <c r="C208" s="293" t="s">
        <v>433</v>
      </c>
      <c r="D208" s="586"/>
      <c r="E208" s="582"/>
      <c r="F208" s="582"/>
      <c r="G208" s="587"/>
      <c r="H208" s="412">
        <v>11</v>
      </c>
    </row>
    <row r="209" spans="2:8">
      <c r="B209" s="600" t="str">
        <f>Orçamento!B79</f>
        <v>5.12</v>
      </c>
      <c r="C209" s="204" t="str">
        <f>Orçamento!E79</f>
        <v>PIA MÁRMORE/GRANITO SINTÉTICO 2,00 X 0,54 M</v>
      </c>
      <c r="D209" s="135" t="str">
        <f>Orçamento!G79</f>
        <v>unid.</v>
      </c>
      <c r="E209" s="591"/>
      <c r="F209" s="592"/>
      <c r="G209" s="593"/>
      <c r="H209" s="360" t="s">
        <v>6</v>
      </c>
    </row>
    <row r="210" spans="2:8" ht="15.75" thickBot="1">
      <c r="B210" s="600"/>
      <c r="C210" s="290" t="s">
        <v>430</v>
      </c>
      <c r="D210" s="586"/>
      <c r="E210" s="582"/>
      <c r="F210" s="582"/>
      <c r="G210" s="587"/>
      <c r="H210" s="362">
        <v>2</v>
      </c>
    </row>
    <row r="211" spans="2:8">
      <c r="B211" s="601" t="str">
        <f>Orçamento!B80</f>
        <v>5.13</v>
      </c>
      <c r="C211" s="194" t="str">
        <f>Orçamento!E80</f>
        <v>CHUVEIRO ELÉTRICO EM PVC COM BRAÇO METÁLICO</v>
      </c>
      <c r="D211" s="233" t="str">
        <f>Orçamento!G80</f>
        <v>unid.</v>
      </c>
      <c r="E211" s="543"/>
      <c r="F211" s="547"/>
      <c r="G211" s="544"/>
      <c r="H211" s="351" t="s">
        <v>6</v>
      </c>
    </row>
    <row r="212" spans="2:8" ht="15.75" thickBot="1">
      <c r="B212" s="602"/>
      <c r="C212" s="292" t="s">
        <v>434</v>
      </c>
      <c r="D212" s="586"/>
      <c r="E212" s="582"/>
      <c r="F212" s="582"/>
      <c r="G212" s="587"/>
      <c r="H212" s="408">
        <v>8</v>
      </c>
    </row>
    <row r="213" spans="2:8">
      <c r="B213" s="600" t="str">
        <f>Orçamento!B81</f>
        <v>5.14</v>
      </c>
      <c r="C213" s="204" t="str">
        <f>Orçamento!E81</f>
        <v>PORTA TOALHA HASTE LONGA EM METAL/ACABAMENTO CROMADO</v>
      </c>
      <c r="D213" s="135" t="str">
        <f>Orçamento!G81</f>
        <v>unid.</v>
      </c>
      <c r="E213" s="591"/>
      <c r="F213" s="592"/>
      <c r="G213" s="593"/>
      <c r="H213" s="360" t="s">
        <v>6</v>
      </c>
    </row>
    <row r="214" spans="2:8" ht="39" thickBot="1">
      <c r="B214" s="600"/>
      <c r="C214" s="293" t="s">
        <v>435</v>
      </c>
      <c r="D214" s="586"/>
      <c r="E214" s="582"/>
      <c r="F214" s="582"/>
      <c r="G214" s="587"/>
      <c r="H214" s="362">
        <v>14</v>
      </c>
    </row>
    <row r="215" spans="2:8">
      <c r="B215" s="601" t="str">
        <f>Orçamento!B82</f>
        <v>5.15</v>
      </c>
      <c r="C215" s="194" t="str">
        <f>Orçamento!E82</f>
        <v>SABONETEIRA EM INOX</v>
      </c>
      <c r="D215" s="233" t="str">
        <f>Orçamento!G82</f>
        <v>unid.</v>
      </c>
      <c r="E215" s="588"/>
      <c r="F215" s="589"/>
      <c r="G215" s="590"/>
      <c r="H215" s="351" t="s">
        <v>6</v>
      </c>
    </row>
    <row r="216" spans="2:8" ht="39" thickBot="1">
      <c r="B216" s="602"/>
      <c r="C216" s="293" t="s">
        <v>429</v>
      </c>
      <c r="D216" s="586"/>
      <c r="E216" s="582"/>
      <c r="F216" s="582"/>
      <c r="G216" s="587"/>
      <c r="H216" s="408">
        <v>15</v>
      </c>
    </row>
    <row r="217" spans="2:8">
      <c r="B217" s="601" t="str">
        <f>Orçamento!B83</f>
        <v>5.16</v>
      </c>
      <c r="C217" s="194" t="str">
        <f>Orçamento!E83</f>
        <v>REGISTRO GAVETA BRUTO DIAMETRO 1/2"</v>
      </c>
      <c r="D217" s="233" t="str">
        <f>Orçamento!G83</f>
        <v>unid.</v>
      </c>
      <c r="E217" s="543"/>
      <c r="F217" s="547"/>
      <c r="G217" s="544"/>
      <c r="H217" s="351" t="s">
        <v>6</v>
      </c>
    </row>
    <row r="218" spans="2:8" ht="26.25" thickBot="1">
      <c r="B218" s="602"/>
      <c r="C218" s="293" t="s">
        <v>436</v>
      </c>
      <c r="D218" s="586"/>
      <c r="E218" s="582"/>
      <c r="F218" s="582"/>
      <c r="G218" s="587"/>
      <c r="H218" s="412">
        <v>12</v>
      </c>
    </row>
    <row r="219" spans="2:8">
      <c r="B219" s="601" t="str">
        <f>Orçamento!B84</f>
        <v>5.17</v>
      </c>
      <c r="C219" s="194" t="str">
        <f>Orçamento!E84</f>
        <v>TUBO SOLDAVEL PVC MARROM DIAMETRO 25 mm</v>
      </c>
      <c r="D219" s="233" t="str">
        <f>Orçamento!G84</f>
        <v>m</v>
      </c>
      <c r="E219" s="543"/>
      <c r="F219" s="547"/>
      <c r="G219" s="544"/>
      <c r="H219" s="351" t="s">
        <v>6</v>
      </c>
    </row>
    <row r="220" spans="2:8" ht="15.75" thickBot="1">
      <c r="B220" s="602"/>
      <c r="C220" s="230"/>
      <c r="D220" s="586"/>
      <c r="E220" s="582"/>
      <c r="F220" s="582"/>
      <c r="G220" s="587"/>
      <c r="H220" s="359">
        <v>310</v>
      </c>
    </row>
    <row r="221" spans="2:8">
      <c r="B221" s="601" t="str">
        <f>Orçamento!B85</f>
        <v>5.18</v>
      </c>
      <c r="C221" s="194" t="str">
        <f>Orçamento!E85</f>
        <v>ADAPTAD.SOLD. C/FL.LIVRES P/CX.DAGUA 25X3/4"</v>
      </c>
      <c r="D221" s="233" t="str">
        <f>Orçamento!G85</f>
        <v>unid.</v>
      </c>
      <c r="E221" s="543"/>
      <c r="F221" s="547"/>
      <c r="G221" s="544"/>
      <c r="H221" s="351" t="s">
        <v>6</v>
      </c>
    </row>
    <row r="222" spans="2:8" ht="15.75" thickBot="1">
      <c r="B222" s="602"/>
      <c r="C222" s="230"/>
      <c r="D222" s="586"/>
      <c r="E222" s="582"/>
      <c r="F222" s="582"/>
      <c r="G222" s="587"/>
      <c r="H222" s="412">
        <v>8</v>
      </c>
    </row>
    <row r="223" spans="2:8">
      <c r="B223" s="601" t="str">
        <f>Orçamento!B86</f>
        <v>5.19</v>
      </c>
      <c r="C223" s="194" t="str">
        <f>Orçamento!E86</f>
        <v>LUVA SOLDAVEL DIAMETRO 25 mm</v>
      </c>
      <c r="D223" s="233" t="str">
        <f>Orçamento!G86</f>
        <v>unid.</v>
      </c>
      <c r="E223" s="543"/>
      <c r="F223" s="547"/>
      <c r="G223" s="544"/>
      <c r="H223" s="351" t="s">
        <v>6</v>
      </c>
    </row>
    <row r="224" spans="2:8" ht="15.75" thickBot="1">
      <c r="B224" s="602"/>
      <c r="C224" s="230"/>
      <c r="D224" s="586"/>
      <c r="E224" s="582"/>
      <c r="F224" s="582"/>
      <c r="G224" s="587"/>
      <c r="H224" s="408">
        <v>5</v>
      </c>
    </row>
    <row r="225" spans="2:8">
      <c r="B225" s="601" t="str">
        <f>Orçamento!B87</f>
        <v>5.20</v>
      </c>
      <c r="C225" s="194" t="str">
        <f>Orçamento!E87</f>
        <v>LUVA SOLDAVEL C/ROSCA DIAMETRO 25 X 3/4"</v>
      </c>
      <c r="D225" s="233" t="str">
        <f>Orçamento!G87</f>
        <v>unid.</v>
      </c>
      <c r="E225" s="543"/>
      <c r="F225" s="547"/>
      <c r="G225" s="544"/>
      <c r="H225" s="351" t="s">
        <v>6</v>
      </c>
    </row>
    <row r="226" spans="2:8" ht="15.75" thickBot="1">
      <c r="B226" s="602"/>
      <c r="C226" s="230"/>
      <c r="D226" s="586"/>
      <c r="E226" s="582"/>
      <c r="F226" s="582"/>
      <c r="G226" s="587"/>
      <c r="H226" s="412">
        <v>6</v>
      </c>
    </row>
    <row r="227" spans="2:8">
      <c r="B227" s="601" t="str">
        <f>Orçamento!B88</f>
        <v>5.21</v>
      </c>
      <c r="C227" s="194" t="str">
        <f>Orçamento!E88</f>
        <v>JOELHO 45 GRAUS SOLDAVEL 25 mm</v>
      </c>
      <c r="D227" s="233" t="str">
        <f>Orçamento!G88</f>
        <v>unid.</v>
      </c>
      <c r="E227" s="543"/>
      <c r="F227" s="547"/>
      <c r="G227" s="544"/>
      <c r="H227" s="351" t="s">
        <v>6</v>
      </c>
    </row>
    <row r="228" spans="2:8" ht="15.75" thickBot="1">
      <c r="B228" s="602"/>
      <c r="C228" s="230"/>
      <c r="D228" s="586"/>
      <c r="E228" s="582"/>
      <c r="F228" s="582"/>
      <c r="G228" s="587"/>
      <c r="H228" s="408">
        <v>7</v>
      </c>
    </row>
    <row r="229" spans="2:8">
      <c r="B229" s="601" t="str">
        <f>Orçamento!B89</f>
        <v>5.22</v>
      </c>
      <c r="C229" s="194" t="str">
        <f>Orçamento!E89</f>
        <v>TE 90 GRAUS SOLDAVEL DIAMETRO 25 mm</v>
      </c>
      <c r="D229" s="233" t="str">
        <f>Orçamento!G89</f>
        <v>unid.</v>
      </c>
      <c r="E229" s="543"/>
      <c r="F229" s="547"/>
      <c r="G229" s="544"/>
      <c r="H229" s="351" t="s">
        <v>6</v>
      </c>
    </row>
    <row r="230" spans="2:8" ht="15.75" thickBot="1">
      <c r="B230" s="602"/>
      <c r="C230" s="230"/>
      <c r="D230" s="586"/>
      <c r="E230" s="582"/>
      <c r="F230" s="582"/>
      <c r="G230" s="587"/>
      <c r="H230" s="408">
        <v>8</v>
      </c>
    </row>
    <row r="231" spans="2:8">
      <c r="B231" s="601" t="str">
        <f>Orçamento!B90</f>
        <v>5.23</v>
      </c>
      <c r="C231" s="194" t="str">
        <f>Orçamento!E90</f>
        <v>ADESIVO PLASTICO - FRASCO 850 G</v>
      </c>
      <c r="D231" s="233" t="str">
        <f>Orçamento!G90</f>
        <v>unid.</v>
      </c>
      <c r="E231" s="543"/>
      <c r="F231" s="547"/>
      <c r="G231" s="544"/>
      <c r="H231" s="351" t="s">
        <v>6</v>
      </c>
    </row>
    <row r="232" spans="2:8" ht="15.75" thickBot="1">
      <c r="B232" s="602"/>
      <c r="C232" s="230"/>
      <c r="D232" s="586"/>
      <c r="E232" s="582"/>
      <c r="F232" s="582"/>
      <c r="G232" s="587"/>
      <c r="H232" s="412">
        <v>3</v>
      </c>
    </row>
    <row r="233" spans="2:8">
      <c r="B233" s="601" t="str">
        <f>Orçamento!B91</f>
        <v>5.24</v>
      </c>
      <c r="C233" s="194" t="str">
        <f>Orçamento!E91</f>
        <v>SOLUCAO LIMPADORA 1000 CM3</v>
      </c>
      <c r="D233" s="233" t="str">
        <f>Orçamento!G91</f>
        <v>unid.</v>
      </c>
      <c r="E233" s="543"/>
      <c r="F233" s="547"/>
      <c r="G233" s="544"/>
      <c r="H233" s="351" t="s">
        <v>6</v>
      </c>
    </row>
    <row r="234" spans="2:8" ht="15.75" thickBot="1">
      <c r="B234" s="602"/>
      <c r="C234" s="230"/>
      <c r="D234" s="586"/>
      <c r="E234" s="582"/>
      <c r="F234" s="582"/>
      <c r="G234" s="587"/>
      <c r="H234" s="408">
        <v>3</v>
      </c>
    </row>
    <row r="235" spans="2:8">
      <c r="B235" s="601" t="str">
        <f>Orçamento!B92</f>
        <v>5.25</v>
      </c>
      <c r="C235" s="194" t="str">
        <f>Orçamento!E92</f>
        <v>CORPO RALO SIFONADO QUADRADO 100 X 53 X 40</v>
      </c>
      <c r="D235" s="233" t="str">
        <f>Orçamento!G92</f>
        <v>unid.</v>
      </c>
      <c r="E235" s="543"/>
      <c r="F235" s="547"/>
      <c r="G235" s="544"/>
      <c r="H235" s="351" t="s">
        <v>6</v>
      </c>
    </row>
    <row r="236" spans="2:8" ht="39" thickBot="1">
      <c r="B236" s="602"/>
      <c r="C236" s="409" t="s">
        <v>428</v>
      </c>
      <c r="D236" s="586"/>
      <c r="E236" s="582"/>
      <c r="F236" s="582"/>
      <c r="G236" s="587"/>
      <c r="H236" s="408">
        <v>16</v>
      </c>
    </row>
    <row r="237" spans="2:8">
      <c r="B237" s="601" t="str">
        <f>Orçamento!B93</f>
        <v>5.26</v>
      </c>
      <c r="C237" s="194" t="str">
        <f>Orçamento!E93</f>
        <v>GRELHA QUADRADA BRANCA DIAM. 100 MM</v>
      </c>
      <c r="D237" s="233" t="str">
        <f>Orçamento!G93</f>
        <v>unid.</v>
      </c>
      <c r="E237" s="543"/>
      <c r="F237" s="547"/>
      <c r="G237" s="544"/>
      <c r="H237" s="351" t="s">
        <v>6</v>
      </c>
    </row>
    <row r="238" spans="2:8" ht="39" thickBot="1">
      <c r="B238" s="602"/>
      <c r="C238" s="409" t="s">
        <v>428</v>
      </c>
      <c r="D238" s="586"/>
      <c r="E238" s="582"/>
      <c r="F238" s="582"/>
      <c r="G238" s="587"/>
      <c r="H238" s="412">
        <v>16</v>
      </c>
    </row>
    <row r="239" spans="2:8">
      <c r="B239" s="601" t="str">
        <f>Orçamento!B94</f>
        <v>5.27</v>
      </c>
      <c r="C239" s="194" t="str">
        <f>Orçamento!E94</f>
        <v>CAIXA DE PASSAGEM 60 X 60 CM SEM TAMPA</v>
      </c>
      <c r="D239" s="233" t="str">
        <f>Orçamento!G94</f>
        <v>unid.</v>
      </c>
      <c r="E239" s="543"/>
      <c r="F239" s="547"/>
      <c r="G239" s="544"/>
      <c r="H239" s="351" t="s">
        <v>6</v>
      </c>
    </row>
    <row r="240" spans="2:8" ht="15.75" thickBot="1">
      <c r="B240" s="602"/>
      <c r="C240" s="230"/>
      <c r="D240" s="586"/>
      <c r="E240" s="582"/>
      <c r="F240" s="582"/>
      <c r="G240" s="587"/>
      <c r="H240" s="408">
        <v>2</v>
      </c>
    </row>
    <row r="241" spans="2:8">
      <c r="B241" s="601" t="str">
        <f>Orçamento!B95</f>
        <v>5.28</v>
      </c>
      <c r="C241" s="194" t="str">
        <f>Orçamento!E95</f>
        <v>TAMPA EM CONCRETO ARMADO 25 MPA E=5CM PARA A CAIXA DE PASSAGEM 60X60CM</v>
      </c>
      <c r="D241" s="233" t="str">
        <f>Orçamento!G95</f>
        <v>unid.</v>
      </c>
      <c r="E241" s="543"/>
      <c r="F241" s="547"/>
      <c r="G241" s="544"/>
      <c r="H241" s="351" t="s">
        <v>6</v>
      </c>
    </row>
    <row r="242" spans="2:8" ht="15.75" thickBot="1">
      <c r="B242" s="602"/>
      <c r="C242" s="230"/>
      <c r="D242" s="586"/>
      <c r="E242" s="582"/>
      <c r="F242" s="582"/>
      <c r="G242" s="587"/>
      <c r="H242" s="408">
        <v>2</v>
      </c>
    </row>
    <row r="243" spans="2:8">
      <c r="B243" s="601" t="str">
        <f>Orçamento!B96</f>
        <v>5.29</v>
      </c>
      <c r="C243" s="194" t="str">
        <f>Orçamento!E96</f>
        <v>CAIXA DAGUA POLIETILENO 500 LTS.C/TAMPA</v>
      </c>
      <c r="D243" s="233" t="str">
        <f>Orçamento!G96</f>
        <v>unid.</v>
      </c>
      <c r="E243" s="543"/>
      <c r="F243" s="547"/>
      <c r="G243" s="544"/>
      <c r="H243" s="351" t="s">
        <v>6</v>
      </c>
    </row>
    <row r="244" spans="2:8" ht="15.75" thickBot="1">
      <c r="B244" s="602"/>
      <c r="C244" s="230"/>
      <c r="D244" s="586"/>
      <c r="E244" s="582"/>
      <c r="F244" s="582"/>
      <c r="G244" s="587"/>
      <c r="H244" s="412">
        <v>3</v>
      </c>
    </row>
    <row r="245" spans="2:8">
      <c r="B245" s="601" t="str">
        <f>Orçamento!B97</f>
        <v>5.30</v>
      </c>
      <c r="C245" s="194" t="str">
        <f>Orçamento!E97</f>
        <v>TERMINAL DE VENTILACAO DIAMETRO 50 MM</v>
      </c>
      <c r="D245" s="233" t="str">
        <f>Orçamento!G97</f>
        <v>unid.</v>
      </c>
      <c r="E245" s="543"/>
      <c r="F245" s="547"/>
      <c r="G245" s="544"/>
      <c r="H245" s="351" t="s">
        <v>6</v>
      </c>
    </row>
    <row r="246" spans="2:8" ht="15.75" thickBot="1">
      <c r="B246" s="602"/>
      <c r="C246" s="230"/>
      <c r="D246" s="586"/>
      <c r="E246" s="582"/>
      <c r="F246" s="582"/>
      <c r="G246" s="587"/>
      <c r="H246" s="408">
        <v>3</v>
      </c>
    </row>
    <row r="247" spans="2:8">
      <c r="B247" s="601" t="str">
        <f>Orçamento!B98</f>
        <v>5.31</v>
      </c>
      <c r="C247" s="194" t="str">
        <f>Orçamento!E98</f>
        <v>TORNEIRA BOIA DIAMETRO 1" (25 MM )</v>
      </c>
      <c r="D247" s="233" t="str">
        <f>Orçamento!G98</f>
        <v>unid.</v>
      </c>
      <c r="E247" s="543"/>
      <c r="F247" s="547"/>
      <c r="G247" s="544"/>
      <c r="H247" s="351" t="s">
        <v>6</v>
      </c>
    </row>
    <row r="248" spans="2:8" ht="15.75" thickBot="1">
      <c r="B248" s="602"/>
      <c r="C248" s="230"/>
      <c r="D248" s="586"/>
      <c r="E248" s="582"/>
      <c r="F248" s="582"/>
      <c r="G248" s="587"/>
      <c r="H248" s="412">
        <v>3</v>
      </c>
    </row>
    <row r="249" spans="2:8">
      <c r="B249" s="601" t="str">
        <f>Orçamento!B99</f>
        <v>5.32</v>
      </c>
      <c r="C249" s="194" t="str">
        <f>Orçamento!E99</f>
        <v>TE SANITARIO DIAMETRO 50 X 50 MM</v>
      </c>
      <c r="D249" s="233" t="str">
        <f>Orçamento!G99</f>
        <v>unid.</v>
      </c>
      <c r="E249" s="543"/>
      <c r="F249" s="547"/>
      <c r="G249" s="544"/>
      <c r="H249" s="351" t="s">
        <v>6</v>
      </c>
    </row>
    <row r="250" spans="2:8" ht="15.75" thickBot="1">
      <c r="B250" s="602"/>
      <c r="C250" s="411" t="s">
        <v>479</v>
      </c>
      <c r="D250" s="586"/>
      <c r="E250" s="582"/>
      <c r="F250" s="582"/>
      <c r="G250" s="587"/>
      <c r="H250" s="408">
        <v>8</v>
      </c>
    </row>
    <row r="251" spans="2:8">
      <c r="B251" s="601" t="str">
        <f>Orçamento!B100</f>
        <v>5.33</v>
      </c>
      <c r="C251" s="194" t="str">
        <f>Orçamento!E100</f>
        <v>TUBO SOLD. P/ESGOTO DIAM. 50 MM</v>
      </c>
      <c r="D251" s="233" t="str">
        <f>Orçamento!G100</f>
        <v>m</v>
      </c>
      <c r="E251" s="543"/>
      <c r="F251" s="547"/>
      <c r="G251" s="544"/>
      <c r="H251" s="351" t="s">
        <v>6</v>
      </c>
    </row>
    <row r="252" spans="2:8" ht="15.75" thickBot="1">
      <c r="B252" s="602"/>
      <c r="C252" s="230"/>
      <c r="D252" s="586"/>
      <c r="E252" s="582"/>
      <c r="F252" s="582"/>
      <c r="G252" s="587"/>
      <c r="H252" s="416">
        <v>190</v>
      </c>
    </row>
    <row r="253" spans="2:8">
      <c r="B253" s="601" t="str">
        <f>Orçamento!B101</f>
        <v>5.34</v>
      </c>
      <c r="C253" s="194" t="str">
        <f>Orçamento!E101</f>
        <v>REGULADOR TIPO FRG 45 C/MANÔMETRO DPV</v>
      </c>
      <c r="D253" s="233" t="str">
        <f>Orçamento!G101</f>
        <v>unid.</v>
      </c>
      <c r="E253" s="543"/>
      <c r="F253" s="547"/>
      <c r="G253" s="544"/>
      <c r="H253" s="351" t="s">
        <v>6</v>
      </c>
    </row>
    <row r="254" spans="2:8" ht="26.25" thickBot="1">
      <c r="B254" s="602"/>
      <c r="C254" s="409" t="s">
        <v>478</v>
      </c>
      <c r="D254" s="586"/>
      <c r="E254" s="582"/>
      <c r="F254" s="582"/>
      <c r="G254" s="587"/>
      <c r="H254" s="408">
        <v>22</v>
      </c>
    </row>
    <row r="255" spans="2:8">
      <c r="B255" s="601" t="str">
        <f>Orçamento!B102</f>
        <v>5.35</v>
      </c>
      <c r="C255" s="194" t="str">
        <f>Orçamento!E102</f>
        <v>TUBO GALVANIZADO DIN 2440 DE 1/2"</v>
      </c>
      <c r="D255" s="233" t="str">
        <f>Orçamento!G102</f>
        <v>unid.</v>
      </c>
      <c r="E255" s="543"/>
      <c r="F255" s="547"/>
      <c r="G255" s="544"/>
      <c r="H255" s="351" t="s">
        <v>6</v>
      </c>
    </row>
    <row r="256" spans="2:8" ht="15.75" thickBot="1">
      <c r="B256" s="602"/>
      <c r="C256" s="230"/>
      <c r="D256" s="586"/>
      <c r="E256" s="582"/>
      <c r="F256" s="582"/>
      <c r="G256" s="587"/>
      <c r="H256" s="412">
        <v>43</v>
      </c>
    </row>
    <row r="257" spans="2:8">
      <c r="B257" s="601" t="str">
        <f>Orçamento!B103</f>
        <v>5.36</v>
      </c>
      <c r="C257" s="194" t="str">
        <f>Orçamento!E103</f>
        <v>COTOVELO 300 PSI 1/2"</v>
      </c>
      <c r="D257" s="233" t="str">
        <f>Orçamento!G103</f>
        <v>unid.</v>
      </c>
      <c r="E257" s="543"/>
      <c r="F257" s="547"/>
      <c r="G257" s="544"/>
      <c r="H257" s="351" t="s">
        <v>6</v>
      </c>
    </row>
    <row r="258" spans="2:8" ht="15.75" thickBot="1">
      <c r="B258" s="602"/>
      <c r="C258" s="230"/>
      <c r="D258" s="586"/>
      <c r="E258" s="582"/>
      <c r="F258" s="582"/>
      <c r="G258" s="587"/>
      <c r="H258" s="408">
        <v>15</v>
      </c>
    </row>
    <row r="259" spans="2:8">
      <c r="B259" s="601" t="str">
        <f>Orçamento!B104</f>
        <v>5.37</v>
      </c>
      <c r="C259" s="194" t="str">
        <f>Orçamento!E104</f>
        <v>TE PRETO 90o 3/4" NPT 300 LBS</v>
      </c>
      <c r="D259" s="233" t="str">
        <f>Orçamento!G104</f>
        <v>unid.</v>
      </c>
      <c r="E259" s="543"/>
      <c r="F259" s="547"/>
      <c r="G259" s="544"/>
      <c r="H259" s="351" t="s">
        <v>6</v>
      </c>
    </row>
    <row r="260" spans="2:8" ht="15.75" thickBot="1">
      <c r="B260" s="602"/>
      <c r="C260" s="230"/>
      <c r="D260" s="586"/>
      <c r="E260" s="582"/>
      <c r="F260" s="582"/>
      <c r="G260" s="587"/>
      <c r="H260" s="412">
        <v>6</v>
      </c>
    </row>
    <row r="261" spans="2:8">
      <c r="B261" s="601" t="str">
        <f>Orçamento!B105</f>
        <v>5.38</v>
      </c>
      <c r="C261" s="194" t="str">
        <f>Orçamento!E105</f>
        <v>LUVA GALVANIZADO DE REDUÇÃO 3/4" X 1/2" (GÁS)</v>
      </c>
      <c r="D261" s="233" t="str">
        <f>Orçamento!G105</f>
        <v>unid.</v>
      </c>
      <c r="E261" s="543"/>
      <c r="F261" s="547"/>
      <c r="G261" s="544"/>
      <c r="H261" s="351" t="s">
        <v>6</v>
      </c>
    </row>
    <row r="262" spans="2:8" ht="15.75" thickBot="1">
      <c r="B262" s="602"/>
      <c r="C262" s="230"/>
      <c r="D262" s="586"/>
      <c r="E262" s="582"/>
      <c r="F262" s="582"/>
      <c r="G262" s="587"/>
      <c r="H262" s="408">
        <v>8</v>
      </c>
    </row>
    <row r="263" spans="2:8">
      <c r="B263" s="601" t="str">
        <f>Orçamento!B106</f>
        <v>5.39</v>
      </c>
      <c r="C263" s="194" t="str">
        <f>Orçamento!E106</f>
        <v>UNIÃO S/BRONZE PRETA 3/4" NPT 300 LBS</v>
      </c>
      <c r="D263" s="233" t="str">
        <f>Orçamento!G106</f>
        <v>unid.</v>
      </c>
      <c r="E263" s="543"/>
      <c r="F263" s="547"/>
      <c r="G263" s="544"/>
      <c r="H263" s="351" t="s">
        <v>6</v>
      </c>
    </row>
    <row r="264" spans="2:8" ht="15.75" thickBot="1">
      <c r="B264" s="602"/>
      <c r="C264" s="230"/>
      <c r="D264" s="586"/>
      <c r="E264" s="582"/>
      <c r="F264" s="582"/>
      <c r="G264" s="587"/>
      <c r="H264" s="408">
        <v>22</v>
      </c>
    </row>
    <row r="265" spans="2:8">
      <c r="B265" s="601" t="str">
        <f>Orçamento!B107</f>
        <v>5.40</v>
      </c>
      <c r="C265" s="194" t="str">
        <f>Orçamento!E107</f>
        <v>VALVULA DE RETENÇÃO LATÃO 1/2" X 7/16" NPT</v>
      </c>
      <c r="D265" s="233" t="str">
        <f>Orçamento!G107</f>
        <v>unid.</v>
      </c>
      <c r="E265" s="588"/>
      <c r="F265" s="589"/>
      <c r="G265" s="590"/>
      <c r="H265" s="351" t="s">
        <v>6</v>
      </c>
    </row>
    <row r="266" spans="2:8" ht="15.75" thickBot="1">
      <c r="B266" s="602"/>
      <c r="C266" s="230"/>
      <c r="D266" s="586"/>
      <c r="E266" s="582"/>
      <c r="F266" s="582"/>
      <c r="G266" s="587"/>
      <c r="H266" s="408">
        <v>6</v>
      </c>
    </row>
    <row r="267" spans="2:8" ht="15" customHeight="1" thickBot="1">
      <c r="B267" s="596" t="str">
        <f>Orçamento!B109</f>
        <v>ALVENARIAS / IMPERMEABILIZAÇÃO</v>
      </c>
      <c r="C267" s="597"/>
      <c r="D267" s="597"/>
      <c r="E267" s="597"/>
      <c r="F267" s="597"/>
      <c r="G267" s="597"/>
      <c r="H267" s="598"/>
    </row>
    <row r="268" spans="2:8" ht="15" customHeight="1">
      <c r="B268" s="601" t="str">
        <f>Orçamento!B110</f>
        <v>6.1</v>
      </c>
      <c r="C268" s="194" t="str">
        <f>Orçamento!E110</f>
        <v>ALVENARIA DE TIJOLO FURADO 1/2 VEZ 11,5 X 19 X 19 - ARG. ( 1 CALH:4ARML + 100 KG DE CI/M3)</v>
      </c>
      <c r="D268" s="233" t="str">
        <f>Orçamento!G110</f>
        <v>m2</v>
      </c>
      <c r="E268" s="588" t="s">
        <v>168</v>
      </c>
      <c r="F268" s="589"/>
      <c r="G268" s="224" t="s">
        <v>350</v>
      </c>
      <c r="H268" s="351" t="s">
        <v>6</v>
      </c>
    </row>
    <row r="269" spans="2:8" ht="42.95" customHeight="1">
      <c r="B269" s="600"/>
      <c r="C269" s="384" t="s">
        <v>467</v>
      </c>
      <c r="D269" s="566" t="s">
        <v>480</v>
      </c>
      <c r="E269" s="606"/>
      <c r="F269" s="607"/>
      <c r="G269" s="134">
        <v>3</v>
      </c>
      <c r="H269" s="354">
        <f>77.9*G269</f>
        <v>233.70000000000002</v>
      </c>
    </row>
    <row r="270" spans="2:8" ht="15">
      <c r="B270" s="600"/>
      <c r="C270" s="384" t="s">
        <v>481</v>
      </c>
      <c r="D270" s="566" t="s">
        <v>482</v>
      </c>
      <c r="E270" s="585"/>
      <c r="F270" s="567"/>
      <c r="G270" s="97">
        <v>3</v>
      </c>
      <c r="H270" s="354">
        <f>9*G270</f>
        <v>27</v>
      </c>
    </row>
    <row r="271" spans="2:8" ht="15">
      <c r="B271" s="600"/>
      <c r="C271" s="384" t="s">
        <v>359</v>
      </c>
      <c r="D271" s="566" t="s">
        <v>483</v>
      </c>
      <c r="E271" s="585"/>
      <c r="F271" s="567"/>
      <c r="G271" s="97">
        <v>3</v>
      </c>
      <c r="H271" s="354">
        <f>10.4*G271</f>
        <v>31.200000000000003</v>
      </c>
    </row>
    <row r="272" spans="2:8" ht="15">
      <c r="B272" s="600"/>
      <c r="C272" s="384" t="s">
        <v>484</v>
      </c>
      <c r="D272" s="566">
        <v>6</v>
      </c>
      <c r="E272" s="585"/>
      <c r="F272" s="567"/>
      <c r="G272" s="97">
        <v>3</v>
      </c>
      <c r="H272" s="354">
        <f>D272*G272</f>
        <v>18</v>
      </c>
    </row>
    <row r="273" spans="2:8" ht="15">
      <c r="B273" s="600"/>
      <c r="C273" s="384" t="s">
        <v>362</v>
      </c>
      <c r="D273" s="566" t="s">
        <v>486</v>
      </c>
      <c r="E273" s="585"/>
      <c r="F273" s="567"/>
      <c r="G273" s="97">
        <v>2</v>
      </c>
      <c r="H273" s="354">
        <f>10.2*G273</f>
        <v>20.399999999999999</v>
      </c>
    </row>
    <row r="274" spans="2:8" ht="15">
      <c r="B274" s="600"/>
      <c r="C274" s="384" t="s">
        <v>367</v>
      </c>
      <c r="D274" s="566" t="s">
        <v>485</v>
      </c>
      <c r="E274" s="585"/>
      <c r="F274" s="567"/>
      <c r="G274" s="97">
        <v>3</v>
      </c>
      <c r="H274" s="354">
        <f>21.2*G274</f>
        <v>63.599999999999994</v>
      </c>
    </row>
    <row r="275" spans="2:8" ht="15">
      <c r="B275" s="600"/>
      <c r="C275" s="384" t="s">
        <v>366</v>
      </c>
      <c r="D275" s="566" t="s">
        <v>487</v>
      </c>
      <c r="E275" s="585"/>
      <c r="F275" s="567"/>
      <c r="G275" s="97">
        <v>3</v>
      </c>
      <c r="H275" s="354">
        <f>7.2*G275</f>
        <v>21.6</v>
      </c>
    </row>
    <row r="276" spans="2:8" ht="15" customHeight="1" thickBot="1">
      <c r="B276" s="600"/>
      <c r="C276" s="342" t="s">
        <v>465</v>
      </c>
      <c r="D276" s="608" t="s">
        <v>488</v>
      </c>
      <c r="E276" s="580"/>
      <c r="F276" s="571"/>
      <c r="G276" s="97">
        <v>3</v>
      </c>
      <c r="H276" s="354">
        <f>18.2*G276</f>
        <v>54.599999999999994</v>
      </c>
    </row>
    <row r="277" spans="2:8" ht="15" customHeight="1">
      <c r="B277" s="601" t="str">
        <f>Orçamento!B111</f>
        <v>6.2</v>
      </c>
      <c r="C277" s="194" t="str">
        <f>Orçamento!E111</f>
        <v>DIVISORIA DE GRANITINA</v>
      </c>
      <c r="D277" s="233" t="str">
        <f>Orçamento!G111</f>
        <v>m2</v>
      </c>
      <c r="E277" s="258" t="s">
        <v>168</v>
      </c>
      <c r="F277" s="224" t="s">
        <v>350</v>
      </c>
      <c r="G277" s="259" t="s">
        <v>442</v>
      </c>
      <c r="H277" s="351" t="s">
        <v>6</v>
      </c>
    </row>
    <row r="278" spans="2:8" ht="15" customHeight="1">
      <c r="B278" s="600"/>
      <c r="C278" s="418" t="s">
        <v>430</v>
      </c>
      <c r="D278" s="128"/>
      <c r="E278" s="134">
        <v>1.2</v>
      </c>
      <c r="F278" s="134">
        <v>1.8</v>
      </c>
      <c r="G278" s="419">
        <v>8</v>
      </c>
      <c r="H278" s="417">
        <f>(E278*F278)*G278</f>
        <v>17.28</v>
      </c>
    </row>
    <row r="279" spans="2:8" ht="15" customHeight="1" thickBot="1">
      <c r="B279" s="602"/>
      <c r="C279" s="292" t="s">
        <v>443</v>
      </c>
      <c r="D279" s="308"/>
      <c r="E279" s="321">
        <v>3.4</v>
      </c>
      <c r="F279" s="421">
        <v>1.8</v>
      </c>
      <c r="G279" s="420">
        <v>1</v>
      </c>
      <c r="H279" s="417">
        <f>(E279*F279)*G279</f>
        <v>6.12</v>
      </c>
    </row>
    <row r="280" spans="2:8" ht="15" customHeight="1">
      <c r="B280" s="601" t="str">
        <f>Orçamento!B112</f>
        <v>6.3</v>
      </c>
      <c r="C280" s="194" t="str">
        <f>Orçamento!E112</f>
        <v>IMPERMEABILIZAÇÃO-REBAIXO BANHEIRO COM 4 DEMÃOS DE EMULSÃO ASFÁLTICA</v>
      </c>
      <c r="D280" s="233" t="str">
        <f>Orçamento!G112</f>
        <v>m2</v>
      </c>
      <c r="E280" s="284" t="s">
        <v>168</v>
      </c>
      <c r="F280" s="224" t="s">
        <v>169</v>
      </c>
      <c r="G280" s="285"/>
      <c r="H280" s="351" t="s">
        <v>6</v>
      </c>
    </row>
    <row r="281" spans="2:8" ht="15" customHeight="1">
      <c r="B281" s="600"/>
      <c r="C281" s="307" t="str">
        <f>C278</f>
        <v>vestiário masculino e feminino</v>
      </c>
      <c r="D281" s="128"/>
      <c r="E281" s="134">
        <v>11.6</v>
      </c>
      <c r="F281" s="134">
        <v>2.2000000000000002</v>
      </c>
      <c r="G281" s="134"/>
      <c r="H281" s="417">
        <f>E281*F281</f>
        <v>25.52</v>
      </c>
    </row>
    <row r="282" spans="2:8" ht="15" customHeight="1">
      <c r="B282" s="600"/>
      <c r="C282" s="422" t="s">
        <v>481</v>
      </c>
      <c r="D282" s="137"/>
      <c r="E282" s="311">
        <v>3.6</v>
      </c>
      <c r="F282" s="311">
        <v>1.8</v>
      </c>
      <c r="G282" s="311"/>
      <c r="H282" s="417">
        <f>E282*F282</f>
        <v>6.48</v>
      </c>
    </row>
    <row r="283" spans="2:8" ht="15" customHeight="1">
      <c r="B283" s="600"/>
      <c r="C283" s="384" t="s">
        <v>415</v>
      </c>
      <c r="D283" s="128"/>
      <c r="E283" s="134">
        <v>2.6</v>
      </c>
      <c r="F283" s="134">
        <v>1.5</v>
      </c>
      <c r="G283" s="134"/>
      <c r="H283" s="417">
        <f>E283*F283</f>
        <v>3.9000000000000004</v>
      </c>
    </row>
    <row r="284" spans="2:8" ht="15" customHeight="1">
      <c r="B284" s="600"/>
      <c r="C284" s="384" t="s">
        <v>410</v>
      </c>
      <c r="D284" s="128"/>
      <c r="E284" s="134">
        <v>2.5</v>
      </c>
      <c r="F284" s="134">
        <v>2.9</v>
      </c>
      <c r="G284" s="134"/>
      <c r="H284" s="417">
        <f>E284*F284</f>
        <v>7.25</v>
      </c>
    </row>
    <row r="285" spans="2:8" ht="15" customHeight="1">
      <c r="B285" s="600"/>
      <c r="C285" s="384" t="s">
        <v>489</v>
      </c>
      <c r="D285" s="128"/>
      <c r="E285" s="134">
        <v>6.8</v>
      </c>
      <c r="F285" s="134">
        <v>2.9</v>
      </c>
      <c r="G285" s="134"/>
      <c r="H285" s="417">
        <f t="shared" ref="H285" si="2">E285*F285</f>
        <v>19.72</v>
      </c>
    </row>
    <row r="286" spans="2:8" ht="15" customHeight="1" thickBot="1">
      <c r="B286" s="602"/>
      <c r="C286" s="423" t="s">
        <v>490</v>
      </c>
      <c r="D286" s="128"/>
      <c r="E286" s="134">
        <v>8.4</v>
      </c>
      <c r="F286" s="134">
        <v>1.6</v>
      </c>
      <c r="G286" s="134"/>
      <c r="H286" s="417">
        <f t="shared" ref="H286" si="3">E286*F286</f>
        <v>13.440000000000001</v>
      </c>
    </row>
    <row r="287" spans="2:8" ht="38.25">
      <c r="B287" s="599" t="str">
        <f>Orçamento!B113</f>
        <v>6.4</v>
      </c>
      <c r="C287" s="232" t="str">
        <f>Orçamento!E113</f>
        <v>IMPERMEABILIZAÇÃO DE ALICERCE / "PÉ" DE PAREDE / PEITORIL E ALVENARIA DE UM MODO GERAL COM CIMENTO CRISTALIZANTE SEMI FLEXÍVEL - 2 DEMÃOS ( ESPECÍFICO PARA OBRAS DE REFORMA)</v>
      </c>
      <c r="D287" s="233" t="str">
        <f>Orçamento!G113</f>
        <v>m2</v>
      </c>
      <c r="E287" s="338" t="s">
        <v>168</v>
      </c>
      <c r="F287" s="224" t="s">
        <v>350</v>
      </c>
      <c r="G287" s="224" t="s">
        <v>493</v>
      </c>
      <c r="H287" s="351" t="s">
        <v>6</v>
      </c>
    </row>
    <row r="288" spans="2:8" ht="15" customHeight="1">
      <c r="B288" s="600"/>
      <c r="C288" s="384" t="s">
        <v>492</v>
      </c>
      <c r="D288" s="566" t="s">
        <v>494</v>
      </c>
      <c r="E288" s="585"/>
      <c r="F288" s="134">
        <v>0.8</v>
      </c>
      <c r="G288" s="424">
        <v>2</v>
      </c>
      <c r="H288" s="354">
        <f>(34.2*F288)*G288</f>
        <v>54.720000000000006</v>
      </c>
    </row>
    <row r="289" spans="2:8" ht="15">
      <c r="B289" s="600"/>
      <c r="C289" s="384" t="s">
        <v>481</v>
      </c>
      <c r="D289" s="566">
        <v>6.2</v>
      </c>
      <c r="E289" s="567"/>
      <c r="F289" s="134">
        <v>0.8</v>
      </c>
      <c r="G289" s="424">
        <v>2</v>
      </c>
      <c r="H289" s="354">
        <f>(D289*F289)*G289</f>
        <v>9.9200000000000017</v>
      </c>
    </row>
    <row r="290" spans="2:8" ht="15">
      <c r="B290" s="600"/>
      <c r="C290" s="384" t="s">
        <v>410</v>
      </c>
      <c r="D290" s="566">
        <v>6</v>
      </c>
      <c r="E290" s="567"/>
      <c r="F290" s="134">
        <v>0.8</v>
      </c>
      <c r="G290" s="424">
        <v>2</v>
      </c>
      <c r="H290" s="354">
        <f>(D290*F290)*G290</f>
        <v>9.6000000000000014</v>
      </c>
    </row>
    <row r="291" spans="2:8" ht="15">
      <c r="B291" s="600"/>
      <c r="C291" s="384" t="s">
        <v>490</v>
      </c>
      <c r="D291" s="566">
        <v>8.5</v>
      </c>
      <c r="E291" s="567"/>
      <c r="F291" s="134">
        <v>0.8</v>
      </c>
      <c r="G291" s="424">
        <v>1</v>
      </c>
      <c r="H291" s="354">
        <f>(D291*F291)*G291</f>
        <v>6.8000000000000007</v>
      </c>
    </row>
    <row r="292" spans="2:8" ht="15.75" thickBot="1">
      <c r="B292" s="600"/>
      <c r="C292" s="384" t="s">
        <v>484</v>
      </c>
      <c r="D292" s="566">
        <v>6</v>
      </c>
      <c r="E292" s="567"/>
      <c r="F292" s="134">
        <v>0.8</v>
      </c>
      <c r="G292" s="424">
        <v>1</v>
      </c>
      <c r="H292" s="354">
        <f>(D292*F292)*G292</f>
        <v>4.8000000000000007</v>
      </c>
    </row>
    <row r="293" spans="2:8" ht="15" customHeight="1" thickBot="1">
      <c r="B293" s="596" t="str">
        <f>Orçamento!B115</f>
        <v>COBERTURA</v>
      </c>
      <c r="C293" s="597"/>
      <c r="D293" s="597"/>
      <c r="E293" s="597"/>
      <c r="F293" s="597"/>
      <c r="G293" s="597"/>
      <c r="H293" s="598"/>
    </row>
    <row r="294" spans="2:8">
      <c r="B294" s="601" t="str">
        <f>Orçamento!B116</f>
        <v>7.1</v>
      </c>
      <c r="C294" s="194" t="str">
        <f>Orçamento!E116</f>
        <v>ESTRUT.-TELHA DE FIBROCIMENTO (C/TESOURA) C/FERRAGENS</v>
      </c>
      <c r="D294" s="233" t="str">
        <f>Orçamento!G116</f>
        <v>m2</v>
      </c>
      <c r="E294" s="52" t="s">
        <v>168</v>
      </c>
      <c r="F294" s="52" t="s">
        <v>169</v>
      </c>
      <c r="G294" s="52"/>
      <c r="H294" s="351" t="s">
        <v>6</v>
      </c>
    </row>
    <row r="295" spans="2:8" ht="15">
      <c r="B295" s="600"/>
      <c r="C295" s="290" t="s">
        <v>453</v>
      </c>
      <c r="D295" s="128"/>
      <c r="E295" s="465">
        <v>3.55</v>
      </c>
      <c r="F295" s="96">
        <v>1.8</v>
      </c>
      <c r="G295" s="301"/>
      <c r="H295" s="353">
        <f>E295*F295</f>
        <v>6.39</v>
      </c>
    </row>
    <row r="296" spans="2:8" ht="25.5">
      <c r="B296" s="600"/>
      <c r="C296" s="431" t="s">
        <v>430</v>
      </c>
      <c r="D296" s="305"/>
      <c r="E296" s="252" t="s">
        <v>495</v>
      </c>
      <c r="F296" s="252" t="s">
        <v>496</v>
      </c>
      <c r="G296" s="252"/>
      <c r="H296" s="466">
        <f>12.7*3.2</f>
        <v>40.64</v>
      </c>
    </row>
    <row r="297" spans="2:8" ht="15.75" thickBot="1">
      <c r="B297" s="602"/>
      <c r="C297" s="430" t="s">
        <v>497</v>
      </c>
      <c r="D297" s="229"/>
      <c r="E297" s="218">
        <v>15.6</v>
      </c>
      <c r="F297" s="218">
        <v>10</v>
      </c>
      <c r="G297" s="222"/>
      <c r="H297" s="433">
        <f>E297*F297</f>
        <v>156</v>
      </c>
    </row>
    <row r="298" spans="2:8">
      <c r="B298" s="600" t="str">
        <f>Orçamento!B117</f>
        <v>7.2</v>
      </c>
      <c r="C298" s="204" t="str">
        <f>Orçamento!E117</f>
        <v>EMBOCAMENTO DE BEIRAL</v>
      </c>
      <c r="D298" s="135" t="str">
        <f>Orçamento!G117</f>
        <v>m</v>
      </c>
      <c r="E298" s="52" t="s">
        <v>168</v>
      </c>
      <c r="F298" s="52" t="s">
        <v>169</v>
      </c>
      <c r="G298" s="52" t="s">
        <v>442</v>
      </c>
      <c r="H298" s="351" t="s">
        <v>6</v>
      </c>
    </row>
    <row r="299" spans="2:8" ht="15">
      <c r="B299" s="600"/>
      <c r="C299" s="290" t="s">
        <v>453</v>
      </c>
      <c r="D299" s="128"/>
      <c r="E299" s="467" t="s">
        <v>533</v>
      </c>
      <c r="F299" s="468" t="s">
        <v>534</v>
      </c>
      <c r="G299" s="252">
        <v>1</v>
      </c>
      <c r="H299" s="353">
        <f>(4.55+2.3)*2</f>
        <v>13.7</v>
      </c>
    </row>
    <row r="300" spans="2:8" ht="26.25" thickBot="1">
      <c r="B300" s="600"/>
      <c r="C300" s="428" t="s">
        <v>430</v>
      </c>
      <c r="D300" s="137"/>
      <c r="E300" s="432" t="s">
        <v>495</v>
      </c>
      <c r="F300" s="252" t="s">
        <v>496</v>
      </c>
      <c r="G300" s="222">
        <v>2</v>
      </c>
      <c r="H300" s="433">
        <f>(12.7+3.2)*2</f>
        <v>31.799999999999997</v>
      </c>
    </row>
    <row r="301" spans="2:8">
      <c r="B301" s="601" t="str">
        <f>Orçamento!B118</f>
        <v>7.3</v>
      </c>
      <c r="C301" s="194" t="str">
        <f>Orçamento!E118</f>
        <v>COBERTURA COM TELHA ONDULADA OU EQUIV.</v>
      </c>
      <c r="D301" s="233" t="str">
        <f>Orçamento!G118</f>
        <v>m2</v>
      </c>
      <c r="E301" s="52" t="s">
        <v>168</v>
      </c>
      <c r="F301" s="52" t="s">
        <v>169</v>
      </c>
      <c r="G301" s="52"/>
      <c r="H301" s="351" t="s">
        <v>6</v>
      </c>
    </row>
    <row r="302" spans="2:8" ht="15">
      <c r="B302" s="600"/>
      <c r="C302" s="290" t="s">
        <v>453</v>
      </c>
      <c r="D302" s="128"/>
      <c r="E302" s="465">
        <v>3.55</v>
      </c>
      <c r="F302" s="96">
        <v>1.8</v>
      </c>
      <c r="G302" s="301"/>
      <c r="H302" s="353">
        <f>E302*F302</f>
        <v>6.39</v>
      </c>
    </row>
    <row r="303" spans="2:8" ht="15" customHeight="1">
      <c r="B303" s="600"/>
      <c r="C303" s="431" t="s">
        <v>430</v>
      </c>
      <c r="D303" s="305"/>
      <c r="E303" s="252" t="s">
        <v>495</v>
      </c>
      <c r="F303" s="252" t="s">
        <v>496</v>
      </c>
      <c r="G303" s="252"/>
      <c r="H303" s="466">
        <f>12.7*3.2</f>
        <v>40.64</v>
      </c>
    </row>
    <row r="304" spans="2:8" ht="15" customHeight="1" thickBot="1">
      <c r="B304" s="602"/>
      <c r="C304" s="430" t="s">
        <v>497</v>
      </c>
      <c r="D304" s="229"/>
      <c r="E304" s="218">
        <v>15.6</v>
      </c>
      <c r="F304" s="218">
        <v>10</v>
      </c>
      <c r="G304" s="222"/>
      <c r="H304" s="433">
        <f>E304*F304</f>
        <v>156</v>
      </c>
    </row>
    <row r="305" spans="2:8" ht="15" customHeight="1">
      <c r="B305" s="600" t="str">
        <f>Orçamento!B119</f>
        <v>7.4</v>
      </c>
      <c r="C305" s="204" t="str">
        <f>Orçamento!E119</f>
        <v>CUMEEIRA PARA TELHA ONDULADA OU EQUIV.</v>
      </c>
      <c r="D305" s="135" t="str">
        <f>Orçamento!G119</f>
        <v>m</v>
      </c>
      <c r="E305" s="576" t="s">
        <v>168</v>
      </c>
      <c r="F305" s="577"/>
      <c r="G305" s="594"/>
      <c r="H305" s="351" t="s">
        <v>6</v>
      </c>
    </row>
    <row r="306" spans="2:8" ht="15" customHeight="1">
      <c r="B306" s="600"/>
      <c r="C306" s="431" t="s">
        <v>430</v>
      </c>
      <c r="D306" s="609" t="s">
        <v>495</v>
      </c>
      <c r="E306" s="610"/>
      <c r="F306" s="610"/>
      <c r="G306" s="611"/>
      <c r="H306" s="354">
        <v>12.7</v>
      </c>
    </row>
    <row r="307" spans="2:8" ht="15.75" thickBot="1">
      <c r="B307" s="600"/>
      <c r="C307" s="430" t="s">
        <v>503</v>
      </c>
      <c r="D307" s="573">
        <v>9</v>
      </c>
      <c r="E307" s="574"/>
      <c r="F307" s="574"/>
      <c r="G307" s="575"/>
      <c r="H307" s="358">
        <f>D307</f>
        <v>9</v>
      </c>
    </row>
    <row r="308" spans="2:8" ht="15" customHeight="1">
      <c r="B308" s="601" t="str">
        <f>Orçamento!B120</f>
        <v>7.5</v>
      </c>
      <c r="C308" s="194" t="str">
        <f>Orçamento!E120</f>
        <v>CALHA DE CHAPA GALVANIZADA</v>
      </c>
      <c r="D308" s="233" t="str">
        <f>Orçamento!G120</f>
        <v>m</v>
      </c>
      <c r="E308" s="576" t="str">
        <f>E305</f>
        <v>comprimento</v>
      </c>
      <c r="F308" s="577"/>
      <c r="G308" s="594"/>
      <c r="H308" s="351" t="s">
        <v>6</v>
      </c>
    </row>
    <row r="309" spans="2:8" ht="15" customHeight="1">
      <c r="B309" s="600"/>
      <c r="C309" s="431" t="s">
        <v>430</v>
      </c>
      <c r="D309" s="609" t="s">
        <v>495</v>
      </c>
      <c r="E309" s="610"/>
      <c r="F309" s="610"/>
      <c r="G309" s="611"/>
      <c r="H309" s="354">
        <v>12.7</v>
      </c>
    </row>
    <row r="310" spans="2:8" ht="15" customHeight="1">
      <c r="B310" s="600"/>
      <c r="C310" s="431" t="s">
        <v>497</v>
      </c>
      <c r="D310" s="609" t="s">
        <v>498</v>
      </c>
      <c r="E310" s="610"/>
      <c r="F310" s="610"/>
      <c r="G310" s="611"/>
      <c r="H310" s="354">
        <v>37.5</v>
      </c>
    </row>
    <row r="311" spans="2:8" ht="15.75" thickBot="1">
      <c r="B311" s="602"/>
      <c r="C311" s="430" t="s">
        <v>499</v>
      </c>
      <c r="D311" s="612" t="s">
        <v>500</v>
      </c>
      <c r="E311" s="613"/>
      <c r="F311" s="613"/>
      <c r="G311" s="614"/>
      <c r="H311" s="354">
        <v>96.1</v>
      </c>
    </row>
    <row r="312" spans="2:8" ht="15" customHeight="1">
      <c r="B312" s="601" t="str">
        <f>Orçamento!B121</f>
        <v>7.6</v>
      </c>
      <c r="C312" s="194" t="str">
        <f>Orçamento!E121</f>
        <v>RUFO DE CHAPA GALVANIZADA</v>
      </c>
      <c r="D312" s="233" t="str">
        <f>Orçamento!G121</f>
        <v>m</v>
      </c>
      <c r="E312" s="576" t="s">
        <v>168</v>
      </c>
      <c r="F312" s="577"/>
      <c r="G312" s="52" t="s">
        <v>493</v>
      </c>
      <c r="H312" s="351" t="s">
        <v>6</v>
      </c>
    </row>
    <row r="313" spans="2:8" ht="15">
      <c r="B313" s="600"/>
      <c r="C313" s="431" t="s">
        <v>430</v>
      </c>
      <c r="D313" s="578" t="s">
        <v>496</v>
      </c>
      <c r="E313" s="579"/>
      <c r="F313" s="579"/>
      <c r="G313" s="435">
        <v>2</v>
      </c>
      <c r="H313" s="354">
        <f>3.2*G313</f>
        <v>6.4</v>
      </c>
    </row>
    <row r="314" spans="2:8" ht="15">
      <c r="B314" s="600"/>
      <c r="C314" s="431" t="s">
        <v>497</v>
      </c>
      <c r="D314" s="578" t="s">
        <v>501</v>
      </c>
      <c r="E314" s="580"/>
      <c r="F314" s="580"/>
      <c r="G314" s="435">
        <v>1</v>
      </c>
      <c r="H314" s="354">
        <f>51.3*G314</f>
        <v>51.3</v>
      </c>
    </row>
    <row r="315" spans="2:8" ht="15.75" thickBot="1">
      <c r="B315" s="602"/>
      <c r="C315" s="430" t="s">
        <v>499</v>
      </c>
      <c r="D315" s="581" t="s">
        <v>502</v>
      </c>
      <c r="E315" s="582"/>
      <c r="F315" s="582"/>
      <c r="G315" s="436">
        <v>2</v>
      </c>
      <c r="H315" s="354">
        <f>21.7*G315</f>
        <v>43.4</v>
      </c>
    </row>
    <row r="316" spans="2:8" ht="15" customHeight="1" thickBot="1">
      <c r="B316" s="596"/>
      <c r="C316" s="597"/>
      <c r="D316" s="597"/>
      <c r="E316" s="597"/>
      <c r="F316" s="597"/>
      <c r="G316" s="597"/>
      <c r="H316" s="598"/>
    </row>
    <row r="317" spans="2:8" ht="15" customHeight="1">
      <c r="B317" s="600" t="str">
        <f>Orçamento!B124</f>
        <v>8.1</v>
      </c>
      <c r="C317" s="204" t="str">
        <f>Orçamento!E124</f>
        <v xml:space="preserve">ALIZAR </v>
      </c>
      <c r="D317" s="135" t="str">
        <f>Orçamento!G124</f>
        <v>m</v>
      </c>
      <c r="E317" s="323" t="s">
        <v>168</v>
      </c>
      <c r="F317" s="323" t="s">
        <v>442</v>
      </c>
      <c r="G317" s="323"/>
      <c r="H317" s="360" t="s">
        <v>6</v>
      </c>
    </row>
    <row r="318" spans="2:8" ht="39" thickBot="1">
      <c r="B318" s="602"/>
      <c r="C318" s="495" t="s">
        <v>561</v>
      </c>
      <c r="D318" s="229"/>
      <c r="E318" s="311">
        <v>10.4</v>
      </c>
      <c r="F318" s="246">
        <v>17</v>
      </c>
      <c r="G318" s="238"/>
      <c r="H318" s="359">
        <f>E318*F318</f>
        <v>176.8</v>
      </c>
    </row>
    <row r="319" spans="2:8" ht="15.95" customHeight="1">
      <c r="B319" s="600" t="str">
        <f>Orçamento!B125</f>
        <v>8.2</v>
      </c>
      <c r="C319" s="438" t="str">
        <f>Orçamento!E125</f>
        <v>FOLHA DE PORTA LISA 100 X 210</v>
      </c>
      <c r="D319" s="135" t="str">
        <f>Orçamento!G125</f>
        <v>unid.</v>
      </c>
      <c r="E319" s="543" t="s">
        <v>442</v>
      </c>
      <c r="F319" s="547"/>
      <c r="G319" s="544"/>
      <c r="H319" s="360" t="s">
        <v>6</v>
      </c>
    </row>
    <row r="320" spans="2:8" ht="39" thickBot="1">
      <c r="B320" s="600"/>
      <c r="C320" s="495" t="s">
        <v>563</v>
      </c>
      <c r="D320" s="679">
        <v>19</v>
      </c>
      <c r="E320" s="680"/>
      <c r="F320" s="680"/>
      <c r="G320" s="681"/>
      <c r="H320" s="362">
        <f>D320</f>
        <v>19</v>
      </c>
    </row>
    <row r="321" spans="2:8" ht="15.95" customHeight="1">
      <c r="B321" s="601" t="str">
        <f>Orçamento!B126</f>
        <v>8.3</v>
      </c>
      <c r="C321" s="194" t="str">
        <f>Orçamento!E126</f>
        <v>ESQ. MAXIMO AR CHAPA/VIDRO J3/J5/J6/J8 C/FERRAGENS</v>
      </c>
      <c r="D321" s="233" t="str">
        <f>Orçamento!G126</f>
        <v>m2</v>
      </c>
      <c r="E321" s="369" t="s">
        <v>168</v>
      </c>
      <c r="F321" s="235" t="s">
        <v>350</v>
      </c>
      <c r="G321" s="370" t="s">
        <v>442</v>
      </c>
      <c r="H321" s="351" t="s">
        <v>6</v>
      </c>
    </row>
    <row r="322" spans="2:8" ht="15.95" customHeight="1">
      <c r="B322" s="600"/>
      <c r="C322" s="441" t="s">
        <v>430</v>
      </c>
      <c r="D322" s="128"/>
      <c r="E322" s="286">
        <v>2</v>
      </c>
      <c r="F322" s="288">
        <v>0.5</v>
      </c>
      <c r="G322" s="374">
        <v>2</v>
      </c>
      <c r="H322" s="354">
        <f>(E322*F322)*G322</f>
        <v>2</v>
      </c>
    </row>
    <row r="323" spans="2:8" ht="15.95" customHeight="1">
      <c r="B323" s="600"/>
      <c r="C323" s="441" t="s">
        <v>461</v>
      </c>
      <c r="D323" s="128"/>
      <c r="E323" s="286">
        <v>1</v>
      </c>
      <c r="F323" s="288">
        <v>0.5</v>
      </c>
      <c r="G323" s="374">
        <v>2</v>
      </c>
      <c r="H323" s="354">
        <f>(E323*F323)*G323</f>
        <v>1</v>
      </c>
    </row>
    <row r="324" spans="2:8" ht="15.95" customHeight="1">
      <c r="B324" s="600"/>
      <c r="C324" s="441" t="s">
        <v>410</v>
      </c>
      <c r="D324" s="128"/>
      <c r="E324" s="286">
        <v>1</v>
      </c>
      <c r="F324" s="288">
        <v>0.5</v>
      </c>
      <c r="G324" s="374">
        <v>1</v>
      </c>
      <c r="H324" s="354">
        <f>(E324*F324)*G324</f>
        <v>0.5</v>
      </c>
    </row>
    <row r="325" spans="2:8" ht="15.95" customHeight="1">
      <c r="B325" s="600"/>
      <c r="C325" s="429" t="s">
        <v>504</v>
      </c>
      <c r="D325" s="305"/>
      <c r="E325" s="440">
        <v>1</v>
      </c>
      <c r="F325" s="387">
        <v>0.5</v>
      </c>
      <c r="G325" s="439">
        <v>2</v>
      </c>
      <c r="H325" s="354">
        <f>(E325*F325)*G325</f>
        <v>1</v>
      </c>
    </row>
    <row r="326" spans="2:8" ht="15.95" customHeight="1" thickBot="1">
      <c r="B326" s="602"/>
      <c r="C326" s="427" t="s">
        <v>505</v>
      </c>
      <c r="D326" s="229"/>
      <c r="E326" s="371">
        <v>0.7</v>
      </c>
      <c r="F326" s="225">
        <v>0.8</v>
      </c>
      <c r="G326" s="368">
        <v>2</v>
      </c>
      <c r="H326" s="359">
        <f>(E326*F326)*G326</f>
        <v>1.1199999999999999</v>
      </c>
    </row>
    <row r="327" spans="2:8" ht="15.95" customHeight="1">
      <c r="B327" s="600" t="str">
        <f>Orçamento!B127</f>
        <v>8.4</v>
      </c>
      <c r="C327" s="204" t="str">
        <f>Orçamento!E127</f>
        <v>ESQ.DE CORRER CHAPA/VIDRO J9/J10/J12/J13 C/FERRAGENS</v>
      </c>
      <c r="D327" s="135" t="str">
        <f>Orçamento!G127</f>
        <v>m2</v>
      </c>
      <c r="E327" s="369" t="s">
        <v>168</v>
      </c>
      <c r="F327" s="235" t="s">
        <v>350</v>
      </c>
      <c r="G327" s="370" t="s">
        <v>442</v>
      </c>
      <c r="H327" s="360" t="s">
        <v>6</v>
      </c>
    </row>
    <row r="328" spans="2:8" ht="15.95" customHeight="1" thickBot="1">
      <c r="B328" s="600"/>
      <c r="C328" s="428" t="s">
        <v>459</v>
      </c>
      <c r="D328" s="137"/>
      <c r="E328" s="286">
        <v>1.5</v>
      </c>
      <c r="F328" s="288">
        <v>1.1000000000000001</v>
      </c>
      <c r="G328" s="374">
        <v>2</v>
      </c>
      <c r="H328" s="354">
        <f>(E328*F328)*G328</f>
        <v>3.3000000000000003</v>
      </c>
    </row>
    <row r="329" spans="2:8" ht="15.95" customHeight="1">
      <c r="B329" s="601" t="str">
        <f>Orçamento!B128</f>
        <v>8.5</v>
      </c>
      <c r="C329" s="194" t="str">
        <f>Orçamento!E128</f>
        <v xml:space="preserve">PORTA DE ABRIR EM CHAPA PF-1B C/FERRAGENS </v>
      </c>
      <c r="D329" s="233" t="str">
        <f>Orçamento!G128</f>
        <v>m2</v>
      </c>
      <c r="E329" s="369" t="s">
        <v>168</v>
      </c>
      <c r="F329" s="235" t="s">
        <v>350</v>
      </c>
      <c r="G329" s="370" t="s">
        <v>442</v>
      </c>
      <c r="H329" s="351" t="s">
        <v>6</v>
      </c>
    </row>
    <row r="330" spans="2:8" ht="15.95" customHeight="1">
      <c r="B330" s="600"/>
      <c r="C330" s="429" t="s">
        <v>524</v>
      </c>
      <c r="D330" s="305"/>
      <c r="E330" s="440">
        <v>0.9</v>
      </c>
      <c r="F330" s="387">
        <v>2.1</v>
      </c>
      <c r="G330" s="439">
        <v>1</v>
      </c>
      <c r="H330" s="354">
        <f>(E330*F330)*G330</f>
        <v>1.8900000000000001</v>
      </c>
    </row>
    <row r="331" spans="2:8" ht="15.95" customHeight="1" thickBot="1">
      <c r="B331" s="602"/>
      <c r="C331" s="427" t="s">
        <v>364</v>
      </c>
      <c r="D331" s="229"/>
      <c r="E331" s="371">
        <v>1</v>
      </c>
      <c r="F331" s="225">
        <v>2.1</v>
      </c>
      <c r="G331" s="442">
        <v>2</v>
      </c>
      <c r="H331" s="358">
        <f>(E331*F331)*G331</f>
        <v>4.2</v>
      </c>
    </row>
    <row r="332" spans="2:8" ht="15.95" customHeight="1">
      <c r="B332" s="600" t="str">
        <f>Orçamento!B129</f>
        <v>8.6</v>
      </c>
      <c r="C332" s="204" t="str">
        <f>Orçamento!E129</f>
        <v>PORTA DE ABRIR/FOLHA DE VIDRO PF-2 C/FERRAGENS</v>
      </c>
      <c r="D332" s="135" t="str">
        <f>Orçamento!G129</f>
        <v>m2</v>
      </c>
      <c r="E332" s="369" t="s">
        <v>168</v>
      </c>
      <c r="F332" s="235" t="s">
        <v>350</v>
      </c>
      <c r="G332" s="370" t="s">
        <v>442</v>
      </c>
      <c r="H332" s="351" t="s">
        <v>6</v>
      </c>
    </row>
    <row r="333" spans="2:8" ht="15.95" customHeight="1" thickBot="1">
      <c r="B333" s="600"/>
      <c r="C333" s="496" t="s">
        <v>562</v>
      </c>
      <c r="D333" s="137"/>
      <c r="E333" s="286">
        <v>0.8</v>
      </c>
      <c r="F333" s="288">
        <v>2.1</v>
      </c>
      <c r="G333" s="374">
        <v>1</v>
      </c>
      <c r="H333" s="354">
        <f>(E333*F333)*G333</f>
        <v>1.6800000000000002</v>
      </c>
    </row>
    <row r="334" spans="2:8" ht="15.95" customHeight="1">
      <c r="B334" s="601" t="str">
        <f>Orçamento!B130</f>
        <v>8.7</v>
      </c>
      <c r="C334" s="194" t="str">
        <f>Orçamento!E130</f>
        <v>PORTA ABRIR/VENEZIANA PF-4 C/FERRAGENS</v>
      </c>
      <c r="D334" s="233" t="str">
        <f>Orçamento!G130</f>
        <v>m2</v>
      </c>
      <c r="E334" s="369" t="s">
        <v>168</v>
      </c>
      <c r="F334" s="235" t="s">
        <v>350</v>
      </c>
      <c r="G334" s="370" t="s">
        <v>442</v>
      </c>
      <c r="H334" s="351" t="s">
        <v>6</v>
      </c>
    </row>
    <row r="335" spans="2:8" ht="15.95" customHeight="1">
      <c r="B335" s="600"/>
      <c r="C335" s="429" t="s">
        <v>430</v>
      </c>
      <c r="D335" s="305"/>
      <c r="E335" s="304">
        <v>1</v>
      </c>
      <c r="F335" s="92">
        <v>2.1</v>
      </c>
      <c r="G335" s="373">
        <v>2</v>
      </c>
      <c r="H335" s="354">
        <f>(E335*F335)*G335</f>
        <v>4.2</v>
      </c>
    </row>
    <row r="336" spans="2:8" ht="15.95" customHeight="1" thickBot="1">
      <c r="B336" s="602"/>
      <c r="C336" s="292" t="s">
        <v>449</v>
      </c>
      <c r="D336" s="229"/>
      <c r="E336" s="286">
        <v>0.9</v>
      </c>
      <c r="F336" s="288">
        <v>2.1</v>
      </c>
      <c r="G336" s="374">
        <v>1</v>
      </c>
      <c r="H336" s="354">
        <f>(E336*F336)*G336</f>
        <v>1.8900000000000001</v>
      </c>
    </row>
    <row r="337" spans="2:8" ht="15.95" customHeight="1">
      <c r="B337" s="600" t="str">
        <f>Orçamento!B131</f>
        <v>8.8</v>
      </c>
      <c r="C337" s="204" t="str">
        <f>Orçamento!E131</f>
        <v>PORTA DE CORRER/VIDRO (4) FOLHAS PF-6 C/ FERRAGENS</v>
      </c>
      <c r="D337" s="135" t="str">
        <f>Orçamento!G131</f>
        <v>m2</v>
      </c>
      <c r="E337" s="369" t="s">
        <v>168</v>
      </c>
      <c r="F337" s="235" t="s">
        <v>350</v>
      </c>
      <c r="G337" s="370" t="s">
        <v>442</v>
      </c>
      <c r="H337" s="351" t="s">
        <v>6</v>
      </c>
    </row>
    <row r="338" spans="2:8" ht="15.95" customHeight="1" thickBot="1">
      <c r="B338" s="600"/>
      <c r="C338" s="290" t="s">
        <v>447</v>
      </c>
      <c r="D338" s="137"/>
      <c r="E338" s="286">
        <v>7.65</v>
      </c>
      <c r="F338" s="288">
        <v>2.1</v>
      </c>
      <c r="G338" s="374">
        <v>1</v>
      </c>
      <c r="H338" s="354">
        <f>(E338*F338)*G338</f>
        <v>16.065000000000001</v>
      </c>
    </row>
    <row r="339" spans="2:8" ht="15.95" customHeight="1">
      <c r="B339" s="601" t="str">
        <f>Orçamento!B132</f>
        <v>8.9</v>
      </c>
      <c r="C339" s="194" t="str">
        <f>Orçamento!E132</f>
        <v>PORTA ABRIR CH.P/WC PF-10 C/FERRAGENS</v>
      </c>
      <c r="D339" s="233" t="str">
        <f>Orçamento!G132</f>
        <v>m2</v>
      </c>
      <c r="E339" s="369" t="s">
        <v>168</v>
      </c>
      <c r="F339" s="235" t="s">
        <v>350</v>
      </c>
      <c r="G339" s="370" t="s">
        <v>442</v>
      </c>
      <c r="H339" s="351" t="s">
        <v>6</v>
      </c>
    </row>
    <row r="340" spans="2:8" ht="15.95" customHeight="1" thickBot="1">
      <c r="B340" s="602"/>
      <c r="C340" s="292" t="s">
        <v>448</v>
      </c>
      <c r="D340" s="229"/>
      <c r="E340" s="371">
        <v>0.7</v>
      </c>
      <c r="F340" s="225">
        <v>1.6</v>
      </c>
      <c r="G340" s="442">
        <v>8</v>
      </c>
      <c r="H340" s="359">
        <f>(E340*F340)*G340</f>
        <v>8.9599999999999991</v>
      </c>
    </row>
    <row r="341" spans="2:8">
      <c r="B341" s="600" t="str">
        <f>Orçamento!B133</f>
        <v>8.10</v>
      </c>
      <c r="C341" s="204" t="str">
        <f>Orçamento!E133</f>
        <v>VIDRO LISO 6 MM - COLOCADO</v>
      </c>
      <c r="D341" s="135" t="str">
        <f>Orçamento!G133</f>
        <v>m2</v>
      </c>
      <c r="E341" s="603" t="s">
        <v>506</v>
      </c>
      <c r="F341" s="604"/>
      <c r="G341" s="605"/>
      <c r="H341" s="360" t="s">
        <v>6</v>
      </c>
    </row>
    <row r="342" spans="2:8" ht="15">
      <c r="B342" s="600"/>
      <c r="C342" s="438" t="s">
        <v>314</v>
      </c>
      <c r="D342" s="135"/>
      <c r="E342" s="674">
        <f>SUM(H322:H326)</f>
        <v>5.62</v>
      </c>
      <c r="F342" s="677"/>
      <c r="G342" s="678"/>
      <c r="H342" s="354">
        <f>E342</f>
        <v>5.62</v>
      </c>
    </row>
    <row r="343" spans="2:8" ht="15">
      <c r="B343" s="600"/>
      <c r="C343" s="438" t="s">
        <v>315</v>
      </c>
      <c r="D343" s="135"/>
      <c r="E343" s="682">
        <f>H328</f>
        <v>3.3000000000000003</v>
      </c>
      <c r="F343" s="683"/>
      <c r="G343" s="684"/>
      <c r="H343" s="354">
        <f t="shared" ref="H343:H345" si="4">E343</f>
        <v>3.3000000000000003</v>
      </c>
    </row>
    <row r="344" spans="2:8" ht="15">
      <c r="B344" s="600"/>
      <c r="C344" s="438" t="s">
        <v>317</v>
      </c>
      <c r="D344" s="135"/>
      <c r="E344" s="685">
        <f>H333</f>
        <v>1.6800000000000002</v>
      </c>
      <c r="F344" s="686"/>
      <c r="G344" s="686"/>
      <c r="H344" s="354">
        <f t="shared" si="4"/>
        <v>1.6800000000000002</v>
      </c>
    </row>
    <row r="345" spans="2:8" ht="15.75" thickBot="1">
      <c r="B345" s="673"/>
      <c r="C345" s="441" t="s">
        <v>319</v>
      </c>
      <c r="D345" s="101"/>
      <c r="E345" s="646">
        <f>H338</f>
        <v>16.065000000000001</v>
      </c>
      <c r="F345" s="647"/>
      <c r="G345" s="648"/>
      <c r="H345" s="354">
        <f t="shared" si="4"/>
        <v>16.065000000000001</v>
      </c>
    </row>
    <row r="346" spans="2:8" ht="15" customHeight="1" thickBot="1">
      <c r="B346" s="596" t="str">
        <f>Orçamento!B135</f>
        <v>REVESTIMENTO PAREDE / PISO / TETO</v>
      </c>
      <c r="C346" s="597"/>
      <c r="D346" s="597"/>
      <c r="E346" s="597"/>
      <c r="F346" s="597"/>
      <c r="G346" s="597"/>
      <c r="H346" s="598"/>
    </row>
    <row r="347" spans="2:8">
      <c r="B347" s="600" t="str">
        <f>Orçamento!B136</f>
        <v>9.1</v>
      </c>
      <c r="C347" s="204" t="str">
        <f>Orçamento!E136</f>
        <v>CHAPISCO COMUM</v>
      </c>
      <c r="D347" s="444" t="s">
        <v>137</v>
      </c>
      <c r="E347" s="603" t="s">
        <v>439</v>
      </c>
      <c r="F347" s="605"/>
      <c r="G347" s="323" t="s">
        <v>445</v>
      </c>
      <c r="H347" s="360" t="s">
        <v>6</v>
      </c>
    </row>
    <row r="348" spans="2:8" ht="15.75" thickBot="1">
      <c r="B348" s="600"/>
      <c r="C348" s="431" t="s">
        <v>104</v>
      </c>
      <c r="D348" s="300"/>
      <c r="E348" s="583">
        <f>SUM(H269:H276)</f>
        <v>470.1</v>
      </c>
      <c r="F348" s="584"/>
      <c r="G348" s="301">
        <v>2</v>
      </c>
      <c r="H348" s="354">
        <f>G348*E348</f>
        <v>940.2</v>
      </c>
    </row>
    <row r="349" spans="2:8" ht="15" customHeight="1">
      <c r="B349" s="601" t="str">
        <f>Orçamento!B137</f>
        <v>9.2</v>
      </c>
      <c r="C349" s="194" t="str">
        <f>Orçamento!E137</f>
        <v xml:space="preserve">COSTURA DE TRINCA EM ALVENARIA DE TIJOLO </v>
      </c>
      <c r="D349" s="233" t="str">
        <f>Orçamento!G137</f>
        <v>m</v>
      </c>
      <c r="E349" s="588" t="s">
        <v>168</v>
      </c>
      <c r="F349" s="589"/>
      <c r="G349" s="590"/>
      <c r="H349" s="351" t="s">
        <v>6</v>
      </c>
    </row>
    <row r="350" spans="2:8" ht="15.75" thickBot="1">
      <c r="B350" s="602"/>
      <c r="C350" s="292"/>
      <c r="D350" s="229"/>
      <c r="E350" s="545">
        <v>135</v>
      </c>
      <c r="F350" s="595"/>
      <c r="G350" s="546"/>
      <c r="H350" s="378">
        <f>E350</f>
        <v>135</v>
      </c>
    </row>
    <row r="351" spans="2:8" ht="25.5">
      <c r="B351" s="601" t="str">
        <f>Orçamento!B138</f>
        <v>9.3</v>
      </c>
      <c r="C351" s="194" t="str">
        <f>Orçamento!E138</f>
        <v>EMBOÇO PARA REBOCO FINO (1CALH:4ARML+100kgCI/M3)</v>
      </c>
      <c r="D351" s="233" t="str">
        <f>Orçamento!G138</f>
        <v>m2</v>
      </c>
      <c r="E351" s="224" t="s">
        <v>564</v>
      </c>
      <c r="F351" s="224" t="s">
        <v>350</v>
      </c>
      <c r="G351" s="249" t="s">
        <v>439</v>
      </c>
      <c r="H351" s="351" t="s">
        <v>6</v>
      </c>
    </row>
    <row r="352" spans="2:8" ht="15" customHeight="1">
      <c r="B352" s="600"/>
      <c r="C352" s="438" t="s">
        <v>363</v>
      </c>
      <c r="D352" s="135"/>
      <c r="E352" s="97" t="s">
        <v>565</v>
      </c>
      <c r="F352" s="372">
        <v>2.8</v>
      </c>
      <c r="G352" s="210">
        <f>F352*6</f>
        <v>16.799999999999997</v>
      </c>
      <c r="H352" s="568">
        <f>SUM(G352:G380)</f>
        <v>981.41599999999994</v>
      </c>
    </row>
    <row r="353" spans="2:8" ht="15" customHeight="1">
      <c r="B353" s="600"/>
      <c r="C353" s="306" t="s">
        <v>372</v>
      </c>
      <c r="D353" s="300"/>
      <c r="E353" s="445">
        <v>31.88</v>
      </c>
      <c r="F353" s="446">
        <v>2.8</v>
      </c>
      <c r="G353" s="210">
        <f>F353*E353</f>
        <v>89.263999999999996</v>
      </c>
      <c r="H353" s="569"/>
    </row>
    <row r="354" spans="2:8" ht="15" customHeight="1">
      <c r="B354" s="600"/>
      <c r="C354" s="431" t="s">
        <v>524</v>
      </c>
      <c r="D354" s="300"/>
      <c r="E354" s="445" t="s">
        <v>566</v>
      </c>
      <c r="F354" s="446">
        <v>2.8</v>
      </c>
      <c r="G354" s="210">
        <f>F354*2</f>
        <v>5.6</v>
      </c>
      <c r="H354" s="569"/>
    </row>
    <row r="355" spans="2:8" ht="15" customHeight="1">
      <c r="B355" s="600"/>
      <c r="C355" s="431" t="s">
        <v>525</v>
      </c>
      <c r="D355" s="300"/>
      <c r="E355" s="445">
        <v>11.08</v>
      </c>
      <c r="F355" s="446">
        <v>2.8</v>
      </c>
      <c r="G355" s="210">
        <f t="shared" ref="G355:G380" si="5">F355*E355</f>
        <v>31.023999999999997</v>
      </c>
      <c r="H355" s="569"/>
    </row>
    <row r="356" spans="2:8" ht="15" customHeight="1">
      <c r="B356" s="600"/>
      <c r="C356" s="431" t="s">
        <v>526</v>
      </c>
      <c r="D356" s="300"/>
      <c r="E356" s="445">
        <v>11.08</v>
      </c>
      <c r="F356" s="446">
        <v>2.8</v>
      </c>
      <c r="G356" s="210">
        <f t="shared" si="5"/>
        <v>31.023999999999997</v>
      </c>
      <c r="H356" s="569"/>
    </row>
    <row r="357" spans="2:8" ht="15" customHeight="1">
      <c r="B357" s="600"/>
      <c r="C357" s="431" t="s">
        <v>507</v>
      </c>
      <c r="D357" s="300"/>
      <c r="E357" s="445">
        <v>16.25</v>
      </c>
      <c r="F357" s="446">
        <v>2.8</v>
      </c>
      <c r="G357" s="210">
        <f t="shared" si="5"/>
        <v>45.5</v>
      </c>
      <c r="H357" s="569"/>
    </row>
    <row r="358" spans="2:8" ht="15" customHeight="1">
      <c r="B358" s="600"/>
      <c r="C358" s="431" t="s">
        <v>508</v>
      </c>
      <c r="D358" s="300"/>
      <c r="E358" s="445">
        <v>16.25</v>
      </c>
      <c r="F358" s="446">
        <v>2.8</v>
      </c>
      <c r="G358" s="210">
        <f t="shared" si="5"/>
        <v>45.5</v>
      </c>
      <c r="H358" s="569"/>
    </row>
    <row r="359" spans="2:8" ht="15" customHeight="1">
      <c r="B359" s="600"/>
      <c r="C359" s="431" t="s">
        <v>521</v>
      </c>
      <c r="D359" s="434"/>
      <c r="E359" s="445">
        <v>7.83</v>
      </c>
      <c r="F359" s="446">
        <v>2.8</v>
      </c>
      <c r="G359" s="210">
        <f t="shared" si="5"/>
        <v>21.923999999999999</v>
      </c>
      <c r="H359" s="569"/>
    </row>
    <row r="360" spans="2:8" ht="15" customHeight="1">
      <c r="B360" s="600"/>
      <c r="C360" s="431" t="s">
        <v>522</v>
      </c>
      <c r="D360" s="434"/>
      <c r="E360" s="445">
        <v>7.83</v>
      </c>
      <c r="F360" s="446">
        <v>2.8</v>
      </c>
      <c r="G360" s="210">
        <f t="shared" si="5"/>
        <v>21.923999999999999</v>
      </c>
      <c r="H360" s="569"/>
    </row>
    <row r="361" spans="2:8" ht="15" customHeight="1">
      <c r="B361" s="600"/>
      <c r="C361" s="431" t="s">
        <v>523</v>
      </c>
      <c r="D361" s="434"/>
      <c r="E361" s="445">
        <v>6.1</v>
      </c>
      <c r="F361" s="446">
        <v>3</v>
      </c>
      <c r="G361" s="210">
        <f t="shared" si="5"/>
        <v>18.299999999999997</v>
      </c>
      <c r="H361" s="569"/>
    </row>
    <row r="362" spans="2:8" ht="15" customHeight="1">
      <c r="B362" s="600"/>
      <c r="C362" s="320" t="s">
        <v>410</v>
      </c>
      <c r="D362" s="209"/>
      <c r="E362" s="326">
        <v>18.7</v>
      </c>
      <c r="F362" s="446">
        <v>2.8</v>
      </c>
      <c r="G362" s="210">
        <f t="shared" si="5"/>
        <v>52.359999999999992</v>
      </c>
      <c r="H362" s="569"/>
    </row>
    <row r="363" spans="2:8" ht="15" customHeight="1">
      <c r="B363" s="600"/>
      <c r="C363" s="449" t="s">
        <v>452</v>
      </c>
      <c r="D363" s="209"/>
      <c r="E363" s="326">
        <v>10.45</v>
      </c>
      <c r="F363" s="446">
        <v>2.8</v>
      </c>
      <c r="G363" s="210">
        <f t="shared" si="5"/>
        <v>29.259999999999994</v>
      </c>
      <c r="H363" s="569"/>
    </row>
    <row r="364" spans="2:8" ht="15" customHeight="1">
      <c r="B364" s="600"/>
      <c r="C364" s="449" t="s">
        <v>527</v>
      </c>
      <c r="D364" s="209"/>
      <c r="E364" s="497" t="s">
        <v>567</v>
      </c>
      <c r="F364" s="446">
        <v>2.8</v>
      </c>
      <c r="G364" s="210">
        <f>F364*5.15</f>
        <v>14.42</v>
      </c>
      <c r="H364" s="569"/>
    </row>
    <row r="365" spans="2:8" ht="15" customHeight="1">
      <c r="B365" s="600"/>
      <c r="C365" s="451" t="s">
        <v>359</v>
      </c>
      <c r="D365" s="209"/>
      <c r="E365" s="497" t="s">
        <v>568</v>
      </c>
      <c r="F365" s="446">
        <v>2.8</v>
      </c>
      <c r="G365" s="210">
        <f>F365*3.5</f>
        <v>9.7999999999999989</v>
      </c>
      <c r="H365" s="569"/>
    </row>
    <row r="366" spans="2:8" ht="15" customHeight="1">
      <c r="B366" s="600"/>
      <c r="C366" s="451" t="s">
        <v>528</v>
      </c>
      <c r="D366" s="209"/>
      <c r="E366" s="497" t="s">
        <v>569</v>
      </c>
      <c r="F366" s="446">
        <v>2.8</v>
      </c>
      <c r="G366" s="210">
        <f>F366*3.25</f>
        <v>9.1</v>
      </c>
      <c r="H366" s="569"/>
    </row>
    <row r="367" spans="2:8" ht="15" customHeight="1">
      <c r="B367" s="600"/>
      <c r="C367" s="451" t="s">
        <v>529</v>
      </c>
      <c r="D367" s="209"/>
      <c r="E367" s="497" t="s">
        <v>569</v>
      </c>
      <c r="F367" s="446">
        <v>2.8</v>
      </c>
      <c r="G367" s="210">
        <f>F367*3.25</f>
        <v>9.1</v>
      </c>
      <c r="H367" s="569"/>
    </row>
    <row r="368" spans="2:8" ht="15" customHeight="1">
      <c r="B368" s="600"/>
      <c r="C368" s="448" t="s">
        <v>509</v>
      </c>
      <c r="D368" s="287"/>
      <c r="E368" s="210">
        <v>6.2</v>
      </c>
      <c r="F368" s="446">
        <v>2.8</v>
      </c>
      <c r="G368" s="210">
        <f t="shared" si="5"/>
        <v>17.36</v>
      </c>
      <c r="H368" s="569"/>
    </row>
    <row r="369" spans="2:8" ht="15" customHeight="1">
      <c r="B369" s="600"/>
      <c r="C369" s="448" t="s">
        <v>510</v>
      </c>
      <c r="D369" s="287"/>
      <c r="E369" s="210">
        <v>6.2</v>
      </c>
      <c r="F369" s="446">
        <v>2.8</v>
      </c>
      <c r="G369" s="210">
        <f t="shared" si="5"/>
        <v>17.36</v>
      </c>
      <c r="H369" s="569"/>
    </row>
    <row r="370" spans="2:8" ht="15" customHeight="1">
      <c r="B370" s="600"/>
      <c r="C370" s="448" t="s">
        <v>375</v>
      </c>
      <c r="D370" s="287"/>
      <c r="E370" s="210">
        <v>14.35</v>
      </c>
      <c r="F370" s="446">
        <v>2.8</v>
      </c>
      <c r="G370" s="210">
        <f t="shared" si="5"/>
        <v>40.18</v>
      </c>
      <c r="H370" s="569"/>
    </row>
    <row r="371" spans="2:8" ht="15" customHeight="1">
      <c r="B371" s="600"/>
      <c r="C371" s="448" t="s">
        <v>376</v>
      </c>
      <c r="D371" s="287"/>
      <c r="E371" s="210">
        <v>14.35</v>
      </c>
      <c r="F371" s="446">
        <v>2.8</v>
      </c>
      <c r="G371" s="210">
        <f t="shared" si="5"/>
        <v>40.18</v>
      </c>
      <c r="H371" s="569"/>
    </row>
    <row r="372" spans="2:8" ht="15" customHeight="1">
      <c r="B372" s="600"/>
      <c r="C372" s="448" t="s">
        <v>519</v>
      </c>
      <c r="D372" s="287"/>
      <c r="E372" s="210">
        <v>8.85</v>
      </c>
      <c r="F372" s="446">
        <v>2.8</v>
      </c>
      <c r="G372" s="210">
        <f t="shared" si="5"/>
        <v>24.779999999999998</v>
      </c>
      <c r="H372" s="569"/>
    </row>
    <row r="373" spans="2:8" ht="15" customHeight="1">
      <c r="B373" s="600"/>
      <c r="C373" s="448" t="s">
        <v>520</v>
      </c>
      <c r="D373" s="287"/>
      <c r="E373" s="210">
        <v>8.85</v>
      </c>
      <c r="F373" s="446">
        <v>2.8</v>
      </c>
      <c r="G373" s="210">
        <f t="shared" si="5"/>
        <v>24.779999999999998</v>
      </c>
      <c r="H373" s="569"/>
    </row>
    <row r="374" spans="2:8" ht="15" customHeight="1">
      <c r="B374" s="600"/>
      <c r="C374" s="448" t="s">
        <v>362</v>
      </c>
      <c r="D374" s="287"/>
      <c r="E374" s="210">
        <v>22</v>
      </c>
      <c r="F374" s="446">
        <v>2.8</v>
      </c>
      <c r="G374" s="210">
        <f t="shared" si="5"/>
        <v>61.599999999999994</v>
      </c>
      <c r="H374" s="569"/>
    </row>
    <row r="375" spans="2:8" ht="15" customHeight="1">
      <c r="B375" s="600"/>
      <c r="C375" s="448" t="s">
        <v>367</v>
      </c>
      <c r="D375" s="287"/>
      <c r="E375" s="210">
        <v>22.54</v>
      </c>
      <c r="F375" s="446">
        <v>2.8</v>
      </c>
      <c r="G375" s="210">
        <f t="shared" si="5"/>
        <v>63.111999999999995</v>
      </c>
      <c r="H375" s="569"/>
    </row>
    <row r="376" spans="2:8" ht="15" customHeight="1">
      <c r="B376" s="600"/>
      <c r="C376" s="448" t="s">
        <v>357</v>
      </c>
      <c r="D376" s="327"/>
      <c r="E376" s="210">
        <v>40.9</v>
      </c>
      <c r="F376" s="446">
        <v>2.8</v>
      </c>
      <c r="G376" s="210">
        <f t="shared" si="5"/>
        <v>114.51999999999998</v>
      </c>
      <c r="H376" s="569"/>
    </row>
    <row r="377" spans="2:8" ht="15" customHeight="1">
      <c r="B377" s="600"/>
      <c r="C377" s="448" t="s">
        <v>365</v>
      </c>
      <c r="D377" s="327"/>
      <c r="E377" s="210">
        <v>14.28</v>
      </c>
      <c r="F377" s="446">
        <v>2.8</v>
      </c>
      <c r="G377" s="210">
        <f t="shared" si="5"/>
        <v>39.983999999999995</v>
      </c>
      <c r="H377" s="569"/>
    </row>
    <row r="378" spans="2:8" ht="15" customHeight="1">
      <c r="B378" s="600"/>
      <c r="C378" s="447" t="s">
        <v>407</v>
      </c>
      <c r="D378" s="327"/>
      <c r="E378" s="321">
        <v>10.7</v>
      </c>
      <c r="F378" s="446">
        <v>2.8</v>
      </c>
      <c r="G378" s="210">
        <f t="shared" si="5"/>
        <v>29.959999999999997</v>
      </c>
      <c r="H378" s="569"/>
    </row>
    <row r="379" spans="2:8" ht="15" customHeight="1">
      <c r="B379" s="600"/>
      <c r="C379" s="450" t="s">
        <v>364</v>
      </c>
      <c r="D379" s="327"/>
      <c r="E379" s="321">
        <v>10.1</v>
      </c>
      <c r="F379" s="446">
        <v>2.8</v>
      </c>
      <c r="G379" s="210">
        <f t="shared" si="5"/>
        <v>28.279999999999998</v>
      </c>
      <c r="H379" s="569"/>
    </row>
    <row r="380" spans="2:8" ht="15.75" customHeight="1" thickBot="1">
      <c r="B380" s="602"/>
      <c r="C380" s="250" t="s">
        <v>366</v>
      </c>
      <c r="D380" s="312"/>
      <c r="E380" s="265">
        <v>10.15</v>
      </c>
      <c r="F380" s="446">
        <v>2.8</v>
      </c>
      <c r="G380" s="210">
        <f t="shared" si="5"/>
        <v>28.419999999999998</v>
      </c>
      <c r="H380" s="572"/>
    </row>
    <row r="381" spans="2:8" ht="25.5">
      <c r="B381" s="601" t="str">
        <f>Orçamento!B139</f>
        <v>9.4</v>
      </c>
      <c r="C381" s="194" t="str">
        <f>Orçamento!E139</f>
        <v>REBOCO (1 CALH:4 ARFC+100kgCI/M3)</v>
      </c>
      <c r="D381" s="233" t="str">
        <f>Orçamento!G139</f>
        <v>m2</v>
      </c>
      <c r="E381" s="425" t="s">
        <v>564</v>
      </c>
      <c r="F381" s="224" t="str">
        <f>F351</f>
        <v>altura</v>
      </c>
      <c r="G381" s="426" t="str">
        <f>G351</f>
        <v>área</v>
      </c>
      <c r="H381" s="351" t="s">
        <v>6</v>
      </c>
    </row>
    <row r="382" spans="2:8">
      <c r="B382" s="600"/>
      <c r="C382" s="438" t="s">
        <v>363</v>
      </c>
      <c r="D382" s="135"/>
      <c r="E382" s="97" t="s">
        <v>565</v>
      </c>
      <c r="F382" s="458">
        <v>2.8</v>
      </c>
      <c r="G382" s="210">
        <f>F382*6</f>
        <v>16.799999999999997</v>
      </c>
      <c r="H382" s="568">
        <f>SUM(G382:G400)</f>
        <v>733.56000000000006</v>
      </c>
    </row>
    <row r="383" spans="2:8">
      <c r="B383" s="600"/>
      <c r="C383" s="306" t="s">
        <v>372</v>
      </c>
      <c r="D383" s="300"/>
      <c r="E383" s="445">
        <v>31.88</v>
      </c>
      <c r="F383" s="446">
        <v>2.8</v>
      </c>
      <c r="G383" s="210">
        <f>F383*E383</f>
        <v>89.263999999999996</v>
      </c>
      <c r="H383" s="569"/>
    </row>
    <row r="384" spans="2:8">
      <c r="B384" s="600"/>
      <c r="C384" s="431" t="s">
        <v>524</v>
      </c>
      <c r="D384" s="300"/>
      <c r="E384" s="445" t="s">
        <v>566</v>
      </c>
      <c r="F384" s="446">
        <v>2.8</v>
      </c>
      <c r="G384" s="210">
        <f>F384*2</f>
        <v>5.6</v>
      </c>
      <c r="H384" s="569"/>
    </row>
    <row r="385" spans="2:8">
      <c r="B385" s="600"/>
      <c r="C385" s="431" t="s">
        <v>507</v>
      </c>
      <c r="D385" s="300"/>
      <c r="E385" s="445">
        <v>16.25</v>
      </c>
      <c r="F385" s="446">
        <v>2.8</v>
      </c>
      <c r="G385" s="210">
        <f t="shared" ref="G385:G388" si="6">F385*E385</f>
        <v>45.5</v>
      </c>
      <c r="H385" s="569"/>
    </row>
    <row r="386" spans="2:8" ht="12.95" customHeight="1">
      <c r="B386" s="600"/>
      <c r="C386" s="431" t="s">
        <v>508</v>
      </c>
      <c r="D386" s="300"/>
      <c r="E386" s="445">
        <v>16.25</v>
      </c>
      <c r="F386" s="446">
        <v>2.8</v>
      </c>
      <c r="G386" s="210">
        <f t="shared" si="6"/>
        <v>45.5</v>
      </c>
      <c r="H386" s="569"/>
    </row>
    <row r="387" spans="2:8">
      <c r="B387" s="600"/>
      <c r="C387" s="431" t="s">
        <v>523</v>
      </c>
      <c r="D387" s="434"/>
      <c r="E387" s="445">
        <v>6.1</v>
      </c>
      <c r="F387" s="446">
        <v>3</v>
      </c>
      <c r="G387" s="210">
        <f t="shared" si="6"/>
        <v>18.299999999999997</v>
      </c>
      <c r="H387" s="569"/>
    </row>
    <row r="388" spans="2:8">
      <c r="B388" s="600"/>
      <c r="C388" s="320" t="s">
        <v>410</v>
      </c>
      <c r="D388" s="209"/>
      <c r="E388" s="326">
        <v>18.7</v>
      </c>
      <c r="F388" s="446">
        <v>2.8</v>
      </c>
      <c r="G388" s="210">
        <f t="shared" si="6"/>
        <v>52.359999999999992</v>
      </c>
      <c r="H388" s="569"/>
    </row>
    <row r="389" spans="2:8">
      <c r="B389" s="600"/>
      <c r="C389" s="449" t="s">
        <v>527</v>
      </c>
      <c r="D389" s="209"/>
      <c r="E389" s="497" t="s">
        <v>567</v>
      </c>
      <c r="F389" s="446">
        <v>2.8</v>
      </c>
      <c r="G389" s="210">
        <f>F389*5.15</f>
        <v>14.42</v>
      </c>
      <c r="H389" s="569"/>
    </row>
    <row r="390" spans="2:8">
      <c r="B390" s="600"/>
      <c r="C390" s="451" t="s">
        <v>359</v>
      </c>
      <c r="D390" s="209"/>
      <c r="E390" s="497" t="s">
        <v>568</v>
      </c>
      <c r="F390" s="446">
        <v>2.8</v>
      </c>
      <c r="G390" s="210">
        <f>F390*3.5</f>
        <v>9.7999999999999989</v>
      </c>
      <c r="H390" s="569"/>
    </row>
    <row r="391" spans="2:8">
      <c r="B391" s="600"/>
      <c r="C391" s="451" t="s">
        <v>528</v>
      </c>
      <c r="D391" s="209"/>
      <c r="E391" s="497" t="s">
        <v>569</v>
      </c>
      <c r="F391" s="446">
        <v>2.8</v>
      </c>
      <c r="G391" s="210">
        <f>F391*3.25</f>
        <v>9.1</v>
      </c>
      <c r="H391" s="569"/>
    </row>
    <row r="392" spans="2:8">
      <c r="B392" s="600"/>
      <c r="C392" s="451" t="s">
        <v>529</v>
      </c>
      <c r="D392" s="209"/>
      <c r="E392" s="497" t="s">
        <v>569</v>
      </c>
      <c r="F392" s="446">
        <v>2.8</v>
      </c>
      <c r="G392" s="210">
        <f>F392*3.25</f>
        <v>9.1</v>
      </c>
      <c r="H392" s="569"/>
    </row>
    <row r="393" spans="2:8" ht="15" customHeight="1">
      <c r="B393" s="600"/>
      <c r="C393" s="448" t="s">
        <v>375</v>
      </c>
      <c r="D393" s="287"/>
      <c r="E393" s="210">
        <v>14.35</v>
      </c>
      <c r="F393" s="446">
        <v>2.8</v>
      </c>
      <c r="G393" s="210">
        <f t="shared" ref="G393:G400" si="7">F393*E393</f>
        <v>40.18</v>
      </c>
      <c r="H393" s="569"/>
    </row>
    <row r="394" spans="2:8" ht="15" customHeight="1">
      <c r="B394" s="600"/>
      <c r="C394" s="448" t="s">
        <v>376</v>
      </c>
      <c r="D394" s="287"/>
      <c r="E394" s="210">
        <v>14.35</v>
      </c>
      <c r="F394" s="446">
        <v>2.8</v>
      </c>
      <c r="G394" s="210">
        <f t="shared" si="7"/>
        <v>40.18</v>
      </c>
      <c r="H394" s="569"/>
    </row>
    <row r="395" spans="2:8" ht="15" customHeight="1">
      <c r="B395" s="600"/>
      <c r="C395" s="448" t="s">
        <v>362</v>
      </c>
      <c r="D395" s="287"/>
      <c r="E395" s="210">
        <v>22</v>
      </c>
      <c r="F395" s="446">
        <v>2.8</v>
      </c>
      <c r="G395" s="210">
        <f t="shared" si="7"/>
        <v>61.599999999999994</v>
      </c>
      <c r="H395" s="569"/>
    </row>
    <row r="396" spans="2:8" ht="15" customHeight="1">
      <c r="B396" s="600"/>
      <c r="C396" s="448" t="s">
        <v>367</v>
      </c>
      <c r="D396" s="287"/>
      <c r="E396" s="210">
        <v>22.54</v>
      </c>
      <c r="F396" s="446">
        <v>2.8</v>
      </c>
      <c r="G396" s="210">
        <f t="shared" si="7"/>
        <v>63.111999999999995</v>
      </c>
      <c r="H396" s="569"/>
    </row>
    <row r="397" spans="2:8" ht="15" customHeight="1">
      <c r="B397" s="600"/>
      <c r="C397" s="448" t="s">
        <v>357</v>
      </c>
      <c r="D397" s="327"/>
      <c r="E397" s="210">
        <v>40.9</v>
      </c>
      <c r="F397" s="446">
        <v>2.8</v>
      </c>
      <c r="G397" s="210">
        <f t="shared" si="7"/>
        <v>114.51999999999998</v>
      </c>
      <c r="H397" s="569"/>
    </row>
    <row r="398" spans="2:8" ht="15" customHeight="1">
      <c r="B398" s="600"/>
      <c r="C398" s="448" t="s">
        <v>365</v>
      </c>
      <c r="D398" s="327"/>
      <c r="E398" s="210">
        <v>14.28</v>
      </c>
      <c r="F398" s="446">
        <v>2.8</v>
      </c>
      <c r="G398" s="210">
        <f t="shared" si="7"/>
        <v>39.983999999999995</v>
      </c>
      <c r="H398" s="569"/>
    </row>
    <row r="399" spans="2:8" ht="15" customHeight="1">
      <c r="B399" s="600"/>
      <c r="C399" s="447" t="s">
        <v>407</v>
      </c>
      <c r="D399" s="327"/>
      <c r="E399" s="321">
        <v>10.7</v>
      </c>
      <c r="F399" s="446">
        <v>2.8</v>
      </c>
      <c r="G399" s="210">
        <f t="shared" si="7"/>
        <v>29.959999999999997</v>
      </c>
      <c r="H399" s="569"/>
    </row>
    <row r="400" spans="2:8" ht="15" customHeight="1" thickBot="1">
      <c r="B400" s="600"/>
      <c r="C400" s="459" t="s">
        <v>364</v>
      </c>
      <c r="D400" s="327"/>
      <c r="E400" s="321">
        <v>10.1</v>
      </c>
      <c r="F400" s="460">
        <v>2.8</v>
      </c>
      <c r="G400" s="321">
        <f t="shared" si="7"/>
        <v>28.279999999999998</v>
      </c>
      <c r="H400" s="569"/>
    </row>
    <row r="401" spans="2:8">
      <c r="B401" s="601" t="str">
        <f>Orçamento!B140</f>
        <v>9.5</v>
      </c>
      <c r="C401" s="328" t="str">
        <f>Orçamento!E140</f>
        <v>REVESTIMENTO COM CERÂMICA</v>
      </c>
      <c r="D401" s="233" t="str">
        <f>Orçamento!G140</f>
        <v>m2</v>
      </c>
      <c r="E401" s="235" t="s">
        <v>450</v>
      </c>
      <c r="F401" s="236" t="s">
        <v>350</v>
      </c>
      <c r="G401" s="52" t="s">
        <v>440</v>
      </c>
      <c r="H401" s="351" t="s">
        <v>6</v>
      </c>
    </row>
    <row r="402" spans="2:8" ht="15" customHeight="1">
      <c r="B402" s="600"/>
      <c r="C402" s="431" t="s">
        <v>525</v>
      </c>
      <c r="D402" s="300"/>
      <c r="E402" s="445">
        <v>11.08</v>
      </c>
      <c r="F402" s="446">
        <v>2.8</v>
      </c>
      <c r="G402" s="210">
        <f t="shared" ref="G402:G406" si="8">F402*E402</f>
        <v>31.023999999999997</v>
      </c>
      <c r="H402" s="568">
        <f>SUM(G402:G411)</f>
        <v>247.85599999999997</v>
      </c>
    </row>
    <row r="403" spans="2:8">
      <c r="B403" s="600"/>
      <c r="C403" s="431" t="s">
        <v>526</v>
      </c>
      <c r="D403" s="300"/>
      <c r="E403" s="445">
        <v>11.08</v>
      </c>
      <c r="F403" s="446">
        <v>2.8</v>
      </c>
      <c r="G403" s="210">
        <f t="shared" si="8"/>
        <v>31.023999999999997</v>
      </c>
      <c r="H403" s="569"/>
    </row>
    <row r="404" spans="2:8">
      <c r="B404" s="600"/>
      <c r="C404" s="431" t="s">
        <v>521</v>
      </c>
      <c r="D404" s="434"/>
      <c r="E404" s="445">
        <v>7.83</v>
      </c>
      <c r="F404" s="446">
        <v>2.8</v>
      </c>
      <c r="G404" s="210">
        <f t="shared" si="8"/>
        <v>21.923999999999999</v>
      </c>
      <c r="H404" s="569"/>
    </row>
    <row r="405" spans="2:8">
      <c r="B405" s="600"/>
      <c r="C405" s="431" t="s">
        <v>522</v>
      </c>
      <c r="D405" s="434"/>
      <c r="E405" s="445">
        <v>7.83</v>
      </c>
      <c r="F405" s="446">
        <v>2.8</v>
      </c>
      <c r="G405" s="210">
        <f t="shared" si="8"/>
        <v>21.923999999999999</v>
      </c>
      <c r="H405" s="569"/>
    </row>
    <row r="406" spans="2:8">
      <c r="B406" s="600"/>
      <c r="C406" s="449" t="s">
        <v>452</v>
      </c>
      <c r="D406" s="209"/>
      <c r="E406" s="326">
        <v>10.45</v>
      </c>
      <c r="F406" s="446">
        <v>2.8</v>
      </c>
      <c r="G406" s="210">
        <f t="shared" si="8"/>
        <v>29.259999999999994</v>
      </c>
      <c r="H406" s="569"/>
    </row>
    <row r="407" spans="2:8">
      <c r="B407" s="600"/>
      <c r="C407" s="448" t="s">
        <v>509</v>
      </c>
      <c r="D407" s="287"/>
      <c r="E407" s="210">
        <v>6.2</v>
      </c>
      <c r="F407" s="446">
        <v>2.8</v>
      </c>
      <c r="G407" s="210">
        <f>E407*F407</f>
        <v>17.36</v>
      </c>
      <c r="H407" s="569"/>
    </row>
    <row r="408" spans="2:8">
      <c r="B408" s="600"/>
      <c r="C408" s="448" t="s">
        <v>510</v>
      </c>
      <c r="D408" s="287"/>
      <c r="E408" s="210">
        <v>6.2</v>
      </c>
      <c r="F408" s="446">
        <v>2.8</v>
      </c>
      <c r="G408" s="210">
        <f t="shared" ref="G408:G411" si="9">F408*E408</f>
        <v>17.36</v>
      </c>
      <c r="H408" s="569"/>
    </row>
    <row r="409" spans="2:8">
      <c r="B409" s="600"/>
      <c r="C409" s="448" t="s">
        <v>519</v>
      </c>
      <c r="D409" s="287"/>
      <c r="E409" s="210">
        <v>8.85</v>
      </c>
      <c r="F409" s="446">
        <v>2.8</v>
      </c>
      <c r="G409" s="210">
        <f t="shared" si="9"/>
        <v>24.779999999999998</v>
      </c>
      <c r="H409" s="569"/>
    </row>
    <row r="410" spans="2:8">
      <c r="B410" s="600"/>
      <c r="C410" s="448" t="s">
        <v>520</v>
      </c>
      <c r="D410" s="287"/>
      <c r="E410" s="210">
        <v>8.85</v>
      </c>
      <c r="F410" s="446">
        <v>2.8</v>
      </c>
      <c r="G410" s="210">
        <f t="shared" si="9"/>
        <v>24.779999999999998</v>
      </c>
      <c r="H410" s="569"/>
    </row>
    <row r="411" spans="2:8" ht="13.5" thickBot="1">
      <c r="B411" s="602"/>
      <c r="C411" s="250" t="s">
        <v>366</v>
      </c>
      <c r="D411" s="312"/>
      <c r="E411" s="265">
        <v>10.15</v>
      </c>
      <c r="F411" s="446">
        <v>2.8</v>
      </c>
      <c r="G411" s="210">
        <f t="shared" si="9"/>
        <v>28.419999999999998</v>
      </c>
      <c r="H411" s="572"/>
    </row>
    <row r="412" spans="2:8">
      <c r="B412" s="601" t="str">
        <f>Orçamento!B141</f>
        <v>9.6</v>
      </c>
      <c r="C412" s="194" t="str">
        <f>Orçamento!E141</f>
        <v>CHAPISCO EM FORRO (1CI: 3 ARG)</v>
      </c>
      <c r="D412" s="233" t="str">
        <f>Orçamento!G141</f>
        <v>m2</v>
      </c>
      <c r="E412" s="425" t="s">
        <v>168</v>
      </c>
      <c r="F412" s="224" t="s">
        <v>169</v>
      </c>
      <c r="G412" s="52"/>
      <c r="H412" s="360" t="s">
        <v>6</v>
      </c>
    </row>
    <row r="413" spans="2:8">
      <c r="B413" s="600"/>
      <c r="C413" s="290" t="s">
        <v>453</v>
      </c>
      <c r="D413" s="211"/>
      <c r="E413" s="245">
        <v>3.55</v>
      </c>
      <c r="F413" s="212">
        <v>1.8</v>
      </c>
      <c r="G413" s="464"/>
      <c r="H413" s="404">
        <f>E413*F413</f>
        <v>6.39</v>
      </c>
    </row>
    <row r="414" spans="2:8">
      <c r="B414" s="600"/>
      <c r="C414" s="384" t="s">
        <v>467</v>
      </c>
      <c r="D414" s="382"/>
      <c r="E414" s="385">
        <v>15.6</v>
      </c>
      <c r="F414" s="385">
        <v>8.5</v>
      </c>
      <c r="G414" s="266"/>
      <c r="H414" s="404">
        <f>E414*F414</f>
        <v>132.6</v>
      </c>
    </row>
    <row r="415" spans="2:8" ht="13.5" thickBot="1">
      <c r="B415" s="602"/>
      <c r="C415" s="379" t="s">
        <v>465</v>
      </c>
      <c r="D415" s="380"/>
      <c r="E415" s="386">
        <v>11.55</v>
      </c>
      <c r="F415" s="386">
        <v>2.35</v>
      </c>
      <c r="G415" s="405"/>
      <c r="H415" s="404">
        <f>E415*F415</f>
        <v>27.142500000000002</v>
      </c>
    </row>
    <row r="416" spans="2:8">
      <c r="B416" s="601" t="str">
        <f>Orçamento!B142</f>
        <v>9.7</v>
      </c>
      <c r="C416" s="194" t="str">
        <f>Orçamento!E142</f>
        <v>REBOCO FINO EM FORRO (1 CALH:4 ARFC+100 KG CI/M3)</v>
      </c>
      <c r="D416" s="251" t="str">
        <f>Orçamento!G142</f>
        <v>m2</v>
      </c>
      <c r="E416" s="425" t="s">
        <v>168</v>
      </c>
      <c r="F416" s="224" t="s">
        <v>169</v>
      </c>
      <c r="G416" s="52"/>
      <c r="H416" s="351" t="s">
        <v>6</v>
      </c>
    </row>
    <row r="417" spans="2:8">
      <c r="B417" s="600"/>
      <c r="C417" s="290" t="s">
        <v>453</v>
      </c>
      <c r="D417" s="211"/>
      <c r="E417" s="245">
        <v>3.55</v>
      </c>
      <c r="F417" s="212">
        <v>1.8</v>
      </c>
      <c r="G417" s="464"/>
      <c r="H417" s="404">
        <f>E417*F417</f>
        <v>6.39</v>
      </c>
    </row>
    <row r="418" spans="2:8">
      <c r="B418" s="600"/>
      <c r="C418" s="462" t="s">
        <v>531</v>
      </c>
      <c r="D418" s="382"/>
      <c r="E418" s="385">
        <v>15.6</v>
      </c>
      <c r="F418" s="385">
        <v>8.5</v>
      </c>
      <c r="G418" s="266"/>
      <c r="H418" s="404">
        <f>E418*F418</f>
        <v>132.6</v>
      </c>
    </row>
    <row r="419" spans="2:8" ht="13.5" thickBot="1">
      <c r="B419" s="600"/>
      <c r="C419" s="463" t="s">
        <v>532</v>
      </c>
      <c r="D419" s="380"/>
      <c r="E419" s="386">
        <v>11.55</v>
      </c>
      <c r="F419" s="386">
        <v>2.35</v>
      </c>
      <c r="G419" s="405"/>
      <c r="H419" s="404">
        <f>E419*F419</f>
        <v>27.142500000000002</v>
      </c>
    </row>
    <row r="420" spans="2:8">
      <c r="B420" s="601" t="str">
        <f>Orçamento!B143</f>
        <v>9.8</v>
      </c>
      <c r="C420" s="194" t="str">
        <f>Orçamento!E143</f>
        <v>FORRO DE GESSO COMUM</v>
      </c>
      <c r="D420" s="233" t="str">
        <f>Orçamento!G143</f>
        <v>m2</v>
      </c>
      <c r="E420" s="425" t="s">
        <v>168</v>
      </c>
      <c r="F420" s="224" t="s">
        <v>169</v>
      </c>
      <c r="G420" s="257"/>
      <c r="H420" s="351" t="s">
        <v>6</v>
      </c>
    </row>
    <row r="421" spans="2:8">
      <c r="B421" s="600"/>
      <c r="C421" s="470" t="s">
        <v>453</v>
      </c>
      <c r="D421" s="211"/>
      <c r="E421" s="245">
        <v>3.55</v>
      </c>
      <c r="F421" s="212">
        <v>1.8</v>
      </c>
      <c r="G421" s="464"/>
      <c r="H421" s="404">
        <f>E421*F421</f>
        <v>6.39</v>
      </c>
    </row>
    <row r="422" spans="2:8" ht="15" customHeight="1">
      <c r="B422" s="600"/>
      <c r="C422" s="461" t="s">
        <v>367</v>
      </c>
      <c r="D422" s="211"/>
      <c r="E422" s="243">
        <v>5.9</v>
      </c>
      <c r="F422" s="212">
        <v>5.55</v>
      </c>
      <c r="G422" s="244"/>
      <c r="H422" s="404">
        <f>E422*F422</f>
        <v>32.744999999999997</v>
      </c>
    </row>
    <row r="423" spans="2:8" ht="15" customHeight="1">
      <c r="B423" s="600"/>
      <c r="C423" s="290" t="s">
        <v>366</v>
      </c>
      <c r="D423" s="211"/>
      <c r="E423" s="243">
        <v>3.35</v>
      </c>
      <c r="F423" s="212">
        <v>1.75</v>
      </c>
      <c r="G423" s="244"/>
      <c r="H423" s="404">
        <f t="shared" ref="H423:H426" si="10">E423*F423</f>
        <v>5.8624999999999998</v>
      </c>
    </row>
    <row r="424" spans="2:8" ht="15" customHeight="1">
      <c r="B424" s="600"/>
      <c r="C424" s="470" t="s">
        <v>451</v>
      </c>
      <c r="D424" s="211"/>
      <c r="E424" s="245">
        <v>9.9499999999999993</v>
      </c>
      <c r="F424" s="212">
        <v>2.35</v>
      </c>
      <c r="G424" s="464"/>
      <c r="H424" s="404">
        <f t="shared" si="10"/>
        <v>23.3825</v>
      </c>
    </row>
    <row r="425" spans="2:8" ht="15" customHeight="1">
      <c r="B425" s="600"/>
      <c r="C425" s="384" t="s">
        <v>467</v>
      </c>
      <c r="D425" s="382"/>
      <c r="E425" s="385">
        <v>15.6</v>
      </c>
      <c r="F425" s="385">
        <v>8.5</v>
      </c>
      <c r="G425" s="266"/>
      <c r="H425" s="404">
        <f t="shared" si="10"/>
        <v>132.6</v>
      </c>
    </row>
    <row r="426" spans="2:8" ht="15.75" customHeight="1" thickBot="1">
      <c r="B426" s="600"/>
      <c r="C426" s="463" t="s">
        <v>532</v>
      </c>
      <c r="D426" s="380"/>
      <c r="E426" s="386">
        <v>11.55</v>
      </c>
      <c r="F426" s="386">
        <v>2.35</v>
      </c>
      <c r="G426" s="405"/>
      <c r="H426" s="404">
        <f t="shared" si="10"/>
        <v>27.142500000000002</v>
      </c>
    </row>
    <row r="427" spans="2:8" ht="25.5">
      <c r="B427" s="601" t="str">
        <f>Orçamento!B144</f>
        <v>9.9</v>
      </c>
      <c r="C427" s="232" t="str">
        <f>Orçamento!E144</f>
        <v>PASSEIO PROTECAO EM CONC.DESEMPEN.5 CM 1:2,5:3,5 ( INCLUSO ESPELHO DE 30CM /ESCAVAÇÃO/REATERRO/APILOAMENTO/ATERRO INTERNO)</v>
      </c>
      <c r="D427" s="233" t="str">
        <f>Orçamento!G144</f>
        <v>m2</v>
      </c>
      <c r="E427" s="235" t="s">
        <v>168</v>
      </c>
      <c r="F427" s="236" t="s">
        <v>169</v>
      </c>
      <c r="G427" s="52"/>
      <c r="H427" s="351" t="s">
        <v>6</v>
      </c>
    </row>
    <row r="428" spans="2:8" ht="15">
      <c r="B428" s="600"/>
      <c r="C428" s="469" t="s">
        <v>535</v>
      </c>
      <c r="D428" s="570" t="s">
        <v>536</v>
      </c>
      <c r="E428" s="571"/>
      <c r="F428" s="387">
        <v>0.8</v>
      </c>
      <c r="G428" s="252"/>
      <c r="H428" s="354">
        <f>15.65*F428</f>
        <v>12.520000000000001</v>
      </c>
    </row>
    <row r="429" spans="2:8" ht="15.75" thickBot="1">
      <c r="B429" s="602"/>
      <c r="C429" s="250" t="s">
        <v>454</v>
      </c>
      <c r="D429" s="545" t="s">
        <v>537</v>
      </c>
      <c r="E429" s="546"/>
      <c r="F429" s="265"/>
      <c r="G429" s="312"/>
      <c r="H429" s="457">
        <v>35.549999999999997</v>
      </c>
    </row>
    <row r="430" spans="2:8">
      <c r="B430" s="600" t="str">
        <f>Orçamento!B145</f>
        <v>9.10</v>
      </c>
      <c r="C430" s="204" t="str">
        <f>Orçamento!E145</f>
        <v xml:space="preserve">GRANITINA 8MM FUNDIDA COM CONTRAPISO (1CI:3ARML) E=2CM E JUNTA PLASTICA 27MM  </v>
      </c>
      <c r="D430" s="233" t="str">
        <f>Orçamento!G145</f>
        <v>m2</v>
      </c>
      <c r="E430" s="235" t="s">
        <v>168</v>
      </c>
      <c r="F430" s="236" t="s">
        <v>169</v>
      </c>
      <c r="G430" s="52"/>
      <c r="H430" s="360" t="s">
        <v>6</v>
      </c>
    </row>
    <row r="431" spans="2:8" ht="15">
      <c r="B431" s="600"/>
      <c r="C431" s="422" t="s">
        <v>481</v>
      </c>
      <c r="D431" s="137"/>
      <c r="E431" s="311">
        <v>3.6</v>
      </c>
      <c r="F431" s="311">
        <v>1.8</v>
      </c>
      <c r="G431" s="311"/>
      <c r="H431" s="417">
        <f>E431*F431</f>
        <v>6.48</v>
      </c>
    </row>
    <row r="432" spans="2:8">
      <c r="B432" s="600"/>
      <c r="C432" s="290" t="s">
        <v>453</v>
      </c>
      <c r="D432" s="211"/>
      <c r="E432" s="245">
        <v>3.55</v>
      </c>
      <c r="F432" s="212">
        <v>1.8</v>
      </c>
      <c r="G432" s="464"/>
      <c r="H432" s="404">
        <f>E432*F432</f>
        <v>6.39</v>
      </c>
    </row>
    <row r="433" spans="2:8">
      <c r="B433" s="600"/>
      <c r="C433" s="461" t="s">
        <v>367</v>
      </c>
      <c r="D433" s="211"/>
      <c r="E433" s="243">
        <v>5.9</v>
      </c>
      <c r="F433" s="212">
        <v>5.55</v>
      </c>
      <c r="G433" s="244"/>
      <c r="H433" s="404">
        <f>E433*F433</f>
        <v>32.744999999999997</v>
      </c>
    </row>
    <row r="434" spans="2:8">
      <c r="B434" s="600"/>
      <c r="C434" s="290" t="s">
        <v>366</v>
      </c>
      <c r="D434" s="211"/>
      <c r="E434" s="243">
        <v>3.35</v>
      </c>
      <c r="F434" s="212">
        <v>1.75</v>
      </c>
      <c r="G434" s="244"/>
      <c r="H434" s="404">
        <f t="shared" ref="H434:H436" si="11">E434*F434</f>
        <v>5.8624999999999998</v>
      </c>
    </row>
    <row r="435" spans="2:8">
      <c r="B435" s="600"/>
      <c r="C435" s="475" t="s">
        <v>451</v>
      </c>
      <c r="D435" s="93"/>
      <c r="E435" s="465">
        <v>9.9499999999999993</v>
      </c>
      <c r="F435" s="96">
        <v>2.35</v>
      </c>
      <c r="G435" s="464"/>
      <c r="H435" s="404">
        <f t="shared" si="11"/>
        <v>23.3825</v>
      </c>
    </row>
    <row r="436" spans="2:8">
      <c r="B436" s="600"/>
      <c r="C436" s="472" t="s">
        <v>465</v>
      </c>
      <c r="D436" s="473"/>
      <c r="E436" s="474">
        <v>11.55</v>
      </c>
      <c r="F436" s="474">
        <v>2.35</v>
      </c>
      <c r="G436" s="346"/>
      <c r="H436" s="404">
        <f t="shared" si="11"/>
        <v>27.142500000000002</v>
      </c>
    </row>
    <row r="437" spans="2:8" ht="15" customHeight="1">
      <c r="B437" s="600"/>
      <c r="C437" s="471" t="s">
        <v>415</v>
      </c>
      <c r="D437" s="135"/>
      <c r="E437" s="97">
        <v>2.6</v>
      </c>
      <c r="F437" s="97">
        <v>1.5</v>
      </c>
      <c r="G437" s="97"/>
      <c r="H437" s="417">
        <f>E437*F437</f>
        <v>3.9000000000000004</v>
      </c>
    </row>
    <row r="438" spans="2:8" ht="14.1" customHeight="1">
      <c r="B438" s="600"/>
      <c r="C438" s="384" t="s">
        <v>410</v>
      </c>
      <c r="D438" s="128"/>
      <c r="E438" s="443">
        <v>2.5</v>
      </c>
      <c r="F438" s="443">
        <v>2.9</v>
      </c>
      <c r="G438" s="443"/>
      <c r="H438" s="417">
        <f>E438*F438</f>
        <v>7.25</v>
      </c>
    </row>
    <row r="439" spans="2:8" ht="14.1" customHeight="1">
      <c r="B439" s="600"/>
      <c r="C439" s="384" t="s">
        <v>489</v>
      </c>
      <c r="D439" s="128"/>
      <c r="E439" s="443">
        <v>6.8</v>
      </c>
      <c r="F439" s="443">
        <v>2.9</v>
      </c>
      <c r="G439" s="443"/>
      <c r="H439" s="417">
        <f t="shared" ref="H439:H440" si="12">E439*F439</f>
        <v>19.72</v>
      </c>
    </row>
    <row r="440" spans="2:8" ht="15" customHeight="1" thickBot="1">
      <c r="B440" s="600"/>
      <c r="C440" s="423" t="s">
        <v>490</v>
      </c>
      <c r="D440" s="128"/>
      <c r="E440" s="443">
        <v>8.4</v>
      </c>
      <c r="F440" s="443">
        <v>1.6</v>
      </c>
      <c r="G440" s="443"/>
      <c r="H440" s="417">
        <f t="shared" si="12"/>
        <v>13.440000000000001</v>
      </c>
    </row>
    <row r="441" spans="2:8" ht="25.5">
      <c r="B441" s="601" t="str">
        <f>Orçamento!B146</f>
        <v>9.11</v>
      </c>
      <c r="C441" s="194" t="str">
        <f>Orçamento!E146</f>
        <v xml:space="preserve">RODAPÉ FUNDIDO DE GRANITINA 7CM </v>
      </c>
      <c r="D441" s="233" t="str">
        <f>Orçamento!G146</f>
        <v>m</v>
      </c>
      <c r="E441" s="52" t="s">
        <v>564</v>
      </c>
      <c r="F441" s="52"/>
      <c r="G441" s="52"/>
      <c r="H441" s="351" t="s">
        <v>6</v>
      </c>
    </row>
    <row r="442" spans="2:8">
      <c r="B442" s="600"/>
      <c r="C442" s="438" t="s">
        <v>363</v>
      </c>
      <c r="D442" s="135"/>
      <c r="E442" s="97" t="s">
        <v>565</v>
      </c>
      <c r="F442" s="50"/>
      <c r="G442" s="50"/>
      <c r="H442" s="568">
        <f>SUM(E445:E453)+SUM(E458:E470)+E443+(6+2+5.15+3.5+1.65+1.6+1.65+1.6)</f>
        <v>350.06999999999994</v>
      </c>
    </row>
    <row r="443" spans="2:8" ht="15" customHeight="1">
      <c r="B443" s="600"/>
      <c r="C443" s="306" t="s">
        <v>372</v>
      </c>
      <c r="D443" s="300"/>
      <c r="E443" s="445">
        <v>31.88</v>
      </c>
      <c r="F443" s="50"/>
      <c r="G443" s="50"/>
      <c r="H443" s="569"/>
    </row>
    <row r="444" spans="2:8" ht="15" customHeight="1">
      <c r="B444" s="600"/>
      <c r="C444" s="431" t="s">
        <v>524</v>
      </c>
      <c r="D444" s="300"/>
      <c r="E444" s="445" t="s">
        <v>566</v>
      </c>
      <c r="F444" s="50"/>
      <c r="G444" s="50"/>
      <c r="H444" s="569"/>
    </row>
    <row r="445" spans="2:8" ht="15" customHeight="1">
      <c r="B445" s="600"/>
      <c r="C445" s="431" t="s">
        <v>525</v>
      </c>
      <c r="D445" s="300"/>
      <c r="E445" s="445">
        <v>11.08</v>
      </c>
      <c r="F445" s="50"/>
      <c r="G445" s="50"/>
      <c r="H445" s="569"/>
    </row>
    <row r="446" spans="2:8" ht="15" customHeight="1">
      <c r="B446" s="600"/>
      <c r="C446" s="431" t="s">
        <v>526</v>
      </c>
      <c r="D446" s="300"/>
      <c r="E446" s="445">
        <v>11.08</v>
      </c>
      <c r="F446" s="50"/>
      <c r="G446" s="50"/>
      <c r="H446" s="569"/>
    </row>
    <row r="447" spans="2:8" ht="15" customHeight="1">
      <c r="B447" s="600"/>
      <c r="C447" s="431" t="s">
        <v>507</v>
      </c>
      <c r="D447" s="300"/>
      <c r="E447" s="445">
        <v>16.25</v>
      </c>
      <c r="F447" s="50"/>
      <c r="G447" s="50"/>
      <c r="H447" s="569"/>
    </row>
    <row r="448" spans="2:8" ht="15" customHeight="1">
      <c r="B448" s="600"/>
      <c r="C448" s="431" t="s">
        <v>508</v>
      </c>
      <c r="D448" s="300"/>
      <c r="E448" s="445">
        <v>16.25</v>
      </c>
      <c r="F448" s="50"/>
      <c r="G448" s="50"/>
      <c r="H448" s="569"/>
    </row>
    <row r="449" spans="2:8" ht="15" customHeight="1">
      <c r="B449" s="600"/>
      <c r="C449" s="431" t="s">
        <v>521</v>
      </c>
      <c r="D449" s="434"/>
      <c r="E449" s="445">
        <v>7.83</v>
      </c>
      <c r="F449" s="50"/>
      <c r="G449" s="50"/>
      <c r="H449" s="569"/>
    </row>
    <row r="450" spans="2:8" ht="15" customHeight="1">
      <c r="B450" s="600"/>
      <c r="C450" s="431" t="s">
        <v>522</v>
      </c>
      <c r="D450" s="434"/>
      <c r="E450" s="445">
        <v>7.83</v>
      </c>
      <c r="F450" s="50"/>
      <c r="G450" s="50"/>
      <c r="H450" s="569"/>
    </row>
    <row r="451" spans="2:8" ht="15" customHeight="1">
      <c r="B451" s="600"/>
      <c r="C451" s="431" t="s">
        <v>523</v>
      </c>
      <c r="D451" s="434"/>
      <c r="E451" s="445">
        <v>6.1</v>
      </c>
      <c r="F451" s="50"/>
      <c r="G451" s="50"/>
      <c r="H451" s="569"/>
    </row>
    <row r="452" spans="2:8" ht="15" customHeight="1">
      <c r="B452" s="600"/>
      <c r="C452" s="320" t="s">
        <v>410</v>
      </c>
      <c r="D452" s="209"/>
      <c r="E452" s="326">
        <v>18.7</v>
      </c>
      <c r="F452" s="50"/>
      <c r="G452" s="50"/>
      <c r="H452" s="569"/>
    </row>
    <row r="453" spans="2:8" ht="15" customHeight="1">
      <c r="B453" s="600"/>
      <c r="C453" s="449" t="s">
        <v>452</v>
      </c>
      <c r="D453" s="209"/>
      <c r="E453" s="326">
        <v>10.45</v>
      </c>
      <c r="F453" s="50"/>
      <c r="G453" s="50"/>
      <c r="H453" s="569"/>
    </row>
    <row r="454" spans="2:8" ht="15" customHeight="1">
      <c r="B454" s="600"/>
      <c r="C454" s="449" t="s">
        <v>527</v>
      </c>
      <c r="D454" s="209"/>
      <c r="E454" s="497" t="s">
        <v>567</v>
      </c>
      <c r="F454" s="50"/>
      <c r="G454" s="50"/>
      <c r="H454" s="569"/>
    </row>
    <row r="455" spans="2:8" ht="15" customHeight="1">
      <c r="B455" s="600"/>
      <c r="C455" s="451" t="s">
        <v>359</v>
      </c>
      <c r="D455" s="209"/>
      <c r="E455" s="497" t="s">
        <v>568</v>
      </c>
      <c r="F455" s="50"/>
      <c r="G455" s="50"/>
      <c r="H455" s="569"/>
    </row>
    <row r="456" spans="2:8" ht="15" customHeight="1">
      <c r="B456" s="600"/>
      <c r="C456" s="451" t="s">
        <v>528</v>
      </c>
      <c r="D456" s="209"/>
      <c r="E456" s="497" t="s">
        <v>569</v>
      </c>
      <c r="F456" s="50"/>
      <c r="G456" s="50"/>
      <c r="H456" s="569"/>
    </row>
    <row r="457" spans="2:8" ht="15" customHeight="1">
      <c r="B457" s="600"/>
      <c r="C457" s="451" t="s">
        <v>529</v>
      </c>
      <c r="D457" s="209"/>
      <c r="E457" s="497" t="s">
        <v>569</v>
      </c>
      <c r="F457" s="50"/>
      <c r="G457" s="50"/>
      <c r="H457" s="569"/>
    </row>
    <row r="458" spans="2:8" ht="15" customHeight="1">
      <c r="B458" s="600"/>
      <c r="C458" s="448" t="s">
        <v>509</v>
      </c>
      <c r="D458" s="287"/>
      <c r="E458" s="210">
        <v>6.2</v>
      </c>
      <c r="F458" s="50"/>
      <c r="G458" s="50"/>
      <c r="H458" s="569"/>
    </row>
    <row r="459" spans="2:8" ht="15" customHeight="1">
      <c r="B459" s="600"/>
      <c r="C459" s="448" t="s">
        <v>510</v>
      </c>
      <c r="D459" s="287"/>
      <c r="E459" s="210">
        <v>6.2</v>
      </c>
      <c r="F459" s="50"/>
      <c r="G459" s="50"/>
      <c r="H459" s="569"/>
    </row>
    <row r="460" spans="2:8" ht="15" customHeight="1">
      <c r="B460" s="600"/>
      <c r="C460" s="448" t="s">
        <v>375</v>
      </c>
      <c r="D460" s="287"/>
      <c r="E460" s="210">
        <v>14.35</v>
      </c>
      <c r="F460" s="50"/>
      <c r="G460" s="50"/>
      <c r="H460" s="569"/>
    </row>
    <row r="461" spans="2:8" ht="15" customHeight="1">
      <c r="B461" s="600"/>
      <c r="C461" s="448" t="s">
        <v>376</v>
      </c>
      <c r="D461" s="287"/>
      <c r="E461" s="210">
        <v>14.35</v>
      </c>
      <c r="F461" s="50"/>
      <c r="G461" s="50"/>
      <c r="H461" s="569"/>
    </row>
    <row r="462" spans="2:8" ht="15" customHeight="1">
      <c r="B462" s="600"/>
      <c r="C462" s="448" t="s">
        <v>519</v>
      </c>
      <c r="D462" s="287"/>
      <c r="E462" s="210">
        <v>8.85</v>
      </c>
      <c r="F462" s="50"/>
      <c r="G462" s="50"/>
      <c r="H462" s="569"/>
    </row>
    <row r="463" spans="2:8" ht="15" customHeight="1">
      <c r="B463" s="600"/>
      <c r="C463" s="448" t="s">
        <v>520</v>
      </c>
      <c r="D463" s="287"/>
      <c r="E463" s="210">
        <v>8.85</v>
      </c>
      <c r="F463" s="50"/>
      <c r="G463" s="50"/>
      <c r="H463" s="569"/>
    </row>
    <row r="464" spans="2:8" ht="15" customHeight="1">
      <c r="B464" s="600"/>
      <c r="C464" s="448" t="s">
        <v>362</v>
      </c>
      <c r="D464" s="287"/>
      <c r="E464" s="210">
        <v>22</v>
      </c>
      <c r="F464" s="50"/>
      <c r="G464" s="50"/>
      <c r="H464" s="569"/>
    </row>
    <row r="465" spans="2:8" ht="15" customHeight="1">
      <c r="B465" s="600"/>
      <c r="C465" s="448" t="s">
        <v>367</v>
      </c>
      <c r="D465" s="287"/>
      <c r="E465" s="210">
        <v>22.54</v>
      </c>
      <c r="F465" s="50"/>
      <c r="G465" s="50"/>
      <c r="H465" s="569"/>
    </row>
    <row r="466" spans="2:8" ht="15" customHeight="1">
      <c r="B466" s="600"/>
      <c r="C466" s="448" t="s">
        <v>357</v>
      </c>
      <c r="D466" s="327"/>
      <c r="E466" s="210">
        <v>40.9</v>
      </c>
      <c r="F466" s="50"/>
      <c r="G466" s="50"/>
      <c r="H466" s="569"/>
    </row>
    <row r="467" spans="2:8" ht="15" customHeight="1">
      <c r="B467" s="600"/>
      <c r="C467" s="448" t="s">
        <v>365</v>
      </c>
      <c r="D467" s="327"/>
      <c r="E467" s="210">
        <v>14.28</v>
      </c>
      <c r="F467" s="50"/>
      <c r="G467" s="50"/>
      <c r="H467" s="569"/>
    </row>
    <row r="468" spans="2:8" ht="15" customHeight="1">
      <c r="B468" s="600"/>
      <c r="C468" s="447" t="s">
        <v>407</v>
      </c>
      <c r="D468" s="327"/>
      <c r="E468" s="321">
        <v>10.7</v>
      </c>
      <c r="F468" s="50"/>
      <c r="G468" s="50"/>
      <c r="H468" s="569"/>
    </row>
    <row r="469" spans="2:8" ht="15" customHeight="1">
      <c r="B469" s="600"/>
      <c r="C469" s="450" t="s">
        <v>364</v>
      </c>
      <c r="D469" s="327"/>
      <c r="E469" s="321">
        <v>10.1</v>
      </c>
      <c r="F469" s="301"/>
      <c r="G469" s="301"/>
      <c r="H469" s="569"/>
    </row>
    <row r="470" spans="2:8" ht="15" customHeight="1" thickBot="1">
      <c r="B470" s="600"/>
      <c r="C470" s="250" t="s">
        <v>366</v>
      </c>
      <c r="D470" s="312"/>
      <c r="E470" s="265">
        <v>10.15</v>
      </c>
      <c r="F470" s="301"/>
      <c r="G470" s="301"/>
      <c r="H470" s="572"/>
    </row>
    <row r="471" spans="2:8" ht="15" customHeight="1">
      <c r="B471" s="601" t="str">
        <f>Orçamento!B147</f>
        <v>9.12</v>
      </c>
      <c r="C471" s="194" t="str">
        <f>Orçamento!E147</f>
        <v xml:space="preserve">RASPAGEM E APLICAÇÃO RESINA ACRÍLICA DUAS DEMÃOS  </v>
      </c>
      <c r="D471" s="233" t="str">
        <f>Orçamento!G147</f>
        <v>m2</v>
      </c>
      <c r="E471" s="235" t="s">
        <v>168</v>
      </c>
      <c r="F471" s="236" t="s">
        <v>169</v>
      </c>
      <c r="G471" s="309"/>
      <c r="H471" s="351" t="s">
        <v>6</v>
      </c>
    </row>
    <row r="472" spans="2:8" ht="15" customHeight="1">
      <c r="B472" s="600"/>
      <c r="C472" s="422" t="s">
        <v>481</v>
      </c>
      <c r="D472" s="137"/>
      <c r="E472" s="311">
        <v>3.6</v>
      </c>
      <c r="F472" s="311">
        <v>1.8</v>
      </c>
      <c r="G472" s="311"/>
      <c r="H472" s="417">
        <f>E472*F472</f>
        <v>6.48</v>
      </c>
    </row>
    <row r="473" spans="2:8" ht="15" customHeight="1">
      <c r="B473" s="600"/>
      <c r="C473" s="290" t="s">
        <v>453</v>
      </c>
      <c r="D473" s="211"/>
      <c r="E473" s="245">
        <v>3.55</v>
      </c>
      <c r="F473" s="212">
        <v>1.8</v>
      </c>
      <c r="G473" s="464"/>
      <c r="H473" s="404">
        <f>E473*F473</f>
        <v>6.39</v>
      </c>
    </row>
    <row r="474" spans="2:8" ht="15" customHeight="1">
      <c r="B474" s="600"/>
      <c r="C474" s="461" t="s">
        <v>367</v>
      </c>
      <c r="D474" s="211"/>
      <c r="E474" s="243">
        <v>5.9</v>
      </c>
      <c r="F474" s="212">
        <v>5.55</v>
      </c>
      <c r="G474" s="244"/>
      <c r="H474" s="404">
        <f>E474*F474</f>
        <v>32.744999999999997</v>
      </c>
    </row>
    <row r="475" spans="2:8" ht="15" customHeight="1">
      <c r="B475" s="600"/>
      <c r="C475" s="290" t="s">
        <v>366</v>
      </c>
      <c r="D475" s="211"/>
      <c r="E475" s="243">
        <v>3.35</v>
      </c>
      <c r="F475" s="212">
        <v>1.75</v>
      </c>
      <c r="G475" s="244"/>
      <c r="H475" s="404">
        <f t="shared" ref="H475:H477" si="13">E475*F475</f>
        <v>5.8624999999999998</v>
      </c>
    </row>
    <row r="476" spans="2:8" ht="15" customHeight="1">
      <c r="B476" s="600"/>
      <c r="C476" s="475" t="s">
        <v>451</v>
      </c>
      <c r="D476" s="93"/>
      <c r="E476" s="465">
        <v>9.9499999999999993</v>
      </c>
      <c r="F476" s="96">
        <v>2.35</v>
      </c>
      <c r="G476" s="464"/>
      <c r="H476" s="404">
        <f t="shared" si="13"/>
        <v>23.3825</v>
      </c>
    </row>
    <row r="477" spans="2:8" ht="15" customHeight="1">
      <c r="B477" s="600"/>
      <c r="C477" s="472" t="s">
        <v>465</v>
      </c>
      <c r="D477" s="473"/>
      <c r="E477" s="474">
        <v>11.55</v>
      </c>
      <c r="F477" s="474">
        <v>2.35</v>
      </c>
      <c r="G477" s="346"/>
      <c r="H477" s="404">
        <f t="shared" si="13"/>
        <v>27.142500000000002</v>
      </c>
    </row>
    <row r="478" spans="2:8" ht="15" customHeight="1">
      <c r="B478" s="600"/>
      <c r="C478" s="471" t="s">
        <v>415</v>
      </c>
      <c r="D478" s="135"/>
      <c r="E478" s="97">
        <v>2.6</v>
      </c>
      <c r="F478" s="97">
        <v>1.5</v>
      </c>
      <c r="G478" s="97"/>
      <c r="H478" s="417">
        <f>E478*F478</f>
        <v>3.9000000000000004</v>
      </c>
    </row>
    <row r="479" spans="2:8" ht="14.1" customHeight="1">
      <c r="B479" s="600"/>
      <c r="C479" s="384" t="s">
        <v>410</v>
      </c>
      <c r="D479" s="128"/>
      <c r="E479" s="443">
        <v>2.5</v>
      </c>
      <c r="F479" s="443">
        <v>2.9</v>
      </c>
      <c r="G479" s="443"/>
      <c r="H479" s="417">
        <f>E479*F479</f>
        <v>7.25</v>
      </c>
    </row>
    <row r="480" spans="2:8" ht="15" customHeight="1">
      <c r="B480" s="600"/>
      <c r="C480" s="384" t="s">
        <v>489</v>
      </c>
      <c r="D480" s="128"/>
      <c r="E480" s="443">
        <v>6.8</v>
      </c>
      <c r="F480" s="443">
        <v>2.9</v>
      </c>
      <c r="G480" s="443"/>
      <c r="H480" s="417">
        <f t="shared" ref="H480:H481" si="14">E480*F480</f>
        <v>19.72</v>
      </c>
    </row>
    <row r="481" spans="2:8" ht="15.75" customHeight="1" thickBot="1">
      <c r="B481" s="600"/>
      <c r="C481" s="423" t="s">
        <v>490</v>
      </c>
      <c r="D481" s="318"/>
      <c r="E481" s="311">
        <v>8.4</v>
      </c>
      <c r="F481" s="311">
        <v>1.6</v>
      </c>
      <c r="G481" s="311"/>
      <c r="H481" s="476">
        <f t="shared" si="14"/>
        <v>13.440000000000001</v>
      </c>
    </row>
    <row r="482" spans="2:8" ht="15" customHeight="1" thickBot="1">
      <c r="B482" s="596" t="str">
        <f>Orçamento!B149</f>
        <v>ADMINISTRAÇÃO - MENSALISTAS</v>
      </c>
      <c r="C482" s="597"/>
      <c r="D482" s="597"/>
      <c r="E482" s="597"/>
      <c r="F482" s="597"/>
      <c r="G482" s="597"/>
      <c r="H482" s="598"/>
    </row>
    <row r="483" spans="2:8">
      <c r="B483" s="599" t="str">
        <f>Orçamento!B150</f>
        <v>10.1</v>
      </c>
      <c r="C483" s="195" t="str">
        <f>Orçamento!E150</f>
        <v xml:space="preserve">MESTRE DE OBRA - (OBRAS CIVIS) </v>
      </c>
      <c r="D483" s="128" t="str">
        <f>Orçamento!G150</f>
        <v>hora</v>
      </c>
      <c r="E483" s="205" t="s">
        <v>166</v>
      </c>
      <c r="F483" s="235" t="s">
        <v>171</v>
      </c>
      <c r="G483" s="206"/>
      <c r="H483" s="360" t="s">
        <v>6</v>
      </c>
    </row>
    <row r="484" spans="2:8" ht="15.75" thickBot="1">
      <c r="B484" s="600"/>
      <c r="C484" s="198"/>
      <c r="D484" s="137"/>
      <c r="E484" s="253">
        <v>8</v>
      </c>
      <c r="F484" s="246">
        <v>100</v>
      </c>
      <c r="G484" s="241"/>
      <c r="H484" s="362">
        <f>E484*F484</f>
        <v>800</v>
      </c>
    </row>
    <row r="485" spans="2:8">
      <c r="B485" s="601" t="str">
        <f>Orçamento!B151</f>
        <v>10.2</v>
      </c>
      <c r="C485" s="194" t="str">
        <f>Orçamento!E151</f>
        <v xml:space="preserve">ENCARREGADO - (OBRAS CIVIS) </v>
      </c>
      <c r="D485" s="233" t="str">
        <f>Orçamento!G151</f>
        <v>hora</v>
      </c>
      <c r="E485" s="369" t="s">
        <v>166</v>
      </c>
      <c r="F485" s="235" t="s">
        <v>171</v>
      </c>
      <c r="G485" s="370"/>
      <c r="H485" s="351" t="s">
        <v>6</v>
      </c>
    </row>
    <row r="486" spans="2:8" ht="15.75" thickBot="1">
      <c r="B486" s="602"/>
      <c r="C486" s="242"/>
      <c r="D486" s="229"/>
      <c r="E486" s="452">
        <v>8</v>
      </c>
      <c r="F486" s="403">
        <v>120</v>
      </c>
      <c r="G486" s="368"/>
      <c r="H486" s="408">
        <f>E486*F486</f>
        <v>960</v>
      </c>
    </row>
    <row r="487" spans="2:8">
      <c r="B487" s="601" t="str">
        <f>Orçamento!B152</f>
        <v>10.3</v>
      </c>
      <c r="C487" s="194" t="str">
        <f>Orçamento!E152</f>
        <v>ENCANADOR</v>
      </c>
      <c r="D487" s="233" t="str">
        <f>Orçamento!G152</f>
        <v>hora</v>
      </c>
      <c r="E487" s="248" t="s">
        <v>166</v>
      </c>
      <c r="F487" s="235" t="s">
        <v>171</v>
      </c>
      <c r="G487" s="206"/>
      <c r="H487" s="351" t="s">
        <v>6</v>
      </c>
    </row>
    <row r="488" spans="2:8" ht="15.75" thickBot="1">
      <c r="B488" s="602"/>
      <c r="C488" s="242"/>
      <c r="D488" s="229"/>
      <c r="E488" s="253">
        <v>8</v>
      </c>
      <c r="F488" s="246">
        <v>60</v>
      </c>
      <c r="G488" s="207"/>
      <c r="H488" s="408">
        <f>E488*F488</f>
        <v>480</v>
      </c>
    </row>
    <row r="489" spans="2:8">
      <c r="B489" s="599" t="str">
        <f>Orçamento!B153</f>
        <v>10.4</v>
      </c>
      <c r="C489" s="195" t="str">
        <f>Orçamento!E153</f>
        <v>ELETRICISTA</v>
      </c>
      <c r="D489" s="128" t="str">
        <f>Orçamento!G153</f>
        <v>hora</v>
      </c>
      <c r="E489" s="369" t="s">
        <v>166</v>
      </c>
      <c r="F489" s="235" t="s">
        <v>171</v>
      </c>
      <c r="G489" s="370"/>
      <c r="H489" s="360" t="s">
        <v>6</v>
      </c>
    </row>
    <row r="490" spans="2:8" ht="15.75" thickBot="1">
      <c r="B490" s="600"/>
      <c r="C490" s="198"/>
      <c r="D490" s="137"/>
      <c r="E490" s="253">
        <v>8</v>
      </c>
      <c r="F490" s="246">
        <v>60</v>
      </c>
      <c r="G490" s="241"/>
      <c r="H490" s="362">
        <f>E490*F490</f>
        <v>480</v>
      </c>
    </row>
    <row r="491" spans="2:8" ht="15" customHeight="1" thickBot="1">
      <c r="B491" s="596" t="str">
        <f>Orçamento!B155</f>
        <v>PINTURA / DIVERSOS</v>
      </c>
      <c r="C491" s="597"/>
      <c r="D491" s="597"/>
      <c r="E491" s="645"/>
      <c r="F491" s="645"/>
      <c r="G491" s="645"/>
      <c r="H491" s="598"/>
    </row>
    <row r="492" spans="2:8" ht="15" customHeight="1">
      <c r="B492" s="601" t="str">
        <f>Orçamento!B156</f>
        <v>11.1</v>
      </c>
      <c r="C492" s="194" t="str">
        <f>Orçamento!E156</f>
        <v xml:space="preserve">FECH.(ALAV.) LAFONTE 6236 I /8766- I18 IMAB OU EQUIV.  </v>
      </c>
      <c r="D492" s="129" t="str">
        <f>Orçamento!G156</f>
        <v>unid.</v>
      </c>
      <c r="E492" s="235" t="s">
        <v>442</v>
      </c>
      <c r="F492" s="543"/>
      <c r="G492" s="544"/>
      <c r="H492" s="351" t="s">
        <v>6</v>
      </c>
    </row>
    <row r="493" spans="2:8" ht="15" customHeight="1" thickBot="1">
      <c r="B493" s="602"/>
      <c r="C493" s="250" t="s">
        <v>110</v>
      </c>
      <c r="D493" s="283"/>
      <c r="E493" s="453">
        <f>H320</f>
        <v>19</v>
      </c>
      <c r="F493" s="545"/>
      <c r="G493" s="546"/>
      <c r="H493" s="454">
        <f>E493</f>
        <v>19</v>
      </c>
    </row>
    <row r="494" spans="2:8">
      <c r="B494" s="600" t="str">
        <f>Orçamento!B157</f>
        <v>11.2</v>
      </c>
      <c r="C494" s="204" t="str">
        <f>Orçamento!E157</f>
        <v xml:space="preserve">DOBRADICA 3" x 3 1/2" FERRO POLIDO </v>
      </c>
      <c r="D494" s="136" t="str">
        <f>Orçamento!G157</f>
        <v>unid.</v>
      </c>
      <c r="E494" s="235" t="s">
        <v>442</v>
      </c>
      <c r="F494" s="236" t="s">
        <v>518</v>
      </c>
      <c r="G494" s="52"/>
      <c r="H494" s="360" t="s">
        <v>6</v>
      </c>
    </row>
    <row r="495" spans="2:8" ht="15.75" thickBot="1">
      <c r="B495" s="600"/>
      <c r="C495" s="239" t="s">
        <v>110</v>
      </c>
      <c r="D495" s="312"/>
      <c r="E495" s="453">
        <f>H320</f>
        <v>19</v>
      </c>
      <c r="F495" s="453">
        <v>3</v>
      </c>
      <c r="G495" s="240"/>
      <c r="H495" s="455">
        <f>F495*E495</f>
        <v>57</v>
      </c>
    </row>
    <row r="496" spans="2:8" ht="15" customHeight="1">
      <c r="B496" s="601" t="str">
        <f>Orçamento!B158</f>
        <v>11.3</v>
      </c>
      <c r="C496" s="194" t="str">
        <f>Orçamento!E158</f>
        <v xml:space="preserve">BATE MACA 2,5 X 12 CM/ENVERNIZ. E ASSENTADO  </v>
      </c>
      <c r="D496" s="129" t="str">
        <f>Orçamento!G158</f>
        <v>m</v>
      </c>
      <c r="E496" s="543" t="s">
        <v>168</v>
      </c>
      <c r="F496" s="547"/>
      <c r="G496" s="544"/>
      <c r="H496" s="351" t="s">
        <v>6</v>
      </c>
    </row>
    <row r="497" spans="2:8" ht="15" customHeight="1">
      <c r="B497" s="600"/>
      <c r="C497" s="475" t="s">
        <v>409</v>
      </c>
      <c r="D497" s="548" t="s">
        <v>550</v>
      </c>
      <c r="E497" s="549"/>
      <c r="F497" s="549"/>
      <c r="G497" s="550"/>
      <c r="H497" s="456">
        <v>11.46</v>
      </c>
    </row>
    <row r="498" spans="2:8" ht="15" customHeight="1">
      <c r="B498" s="600"/>
      <c r="C498" s="490" t="s">
        <v>399</v>
      </c>
      <c r="D498" s="548" t="s">
        <v>549</v>
      </c>
      <c r="E498" s="549"/>
      <c r="F498" s="549"/>
      <c r="G498" s="550"/>
      <c r="H498" s="456">
        <v>14.56</v>
      </c>
    </row>
    <row r="499" spans="2:8" ht="15.95" customHeight="1" thickBot="1">
      <c r="B499" s="600"/>
      <c r="C499" s="461" t="s">
        <v>547</v>
      </c>
      <c r="D499" s="551" t="s">
        <v>548</v>
      </c>
      <c r="E499" s="552"/>
      <c r="F499" s="552"/>
      <c r="G499" s="553"/>
      <c r="H499" s="456">
        <v>65.819999999999993</v>
      </c>
    </row>
    <row r="500" spans="2:8" ht="15" customHeight="1">
      <c r="B500" s="601" t="str">
        <f>Orçamento!B159</f>
        <v>11.4</v>
      </c>
      <c r="C500" s="194" t="str">
        <f>Orçamento!E159</f>
        <v>PINTURA TEXTURIZADA C/SELADOR ACRILICO</v>
      </c>
      <c r="D500" s="309" t="s">
        <v>137</v>
      </c>
      <c r="E500" s="543" t="s">
        <v>168</v>
      </c>
      <c r="F500" s="544"/>
      <c r="G500" s="52" t="s">
        <v>350</v>
      </c>
      <c r="H500" s="351" t="s">
        <v>6</v>
      </c>
    </row>
    <row r="501" spans="2:8" ht="59.1" customHeight="1">
      <c r="B501" s="600"/>
      <c r="C501" s="322" t="s">
        <v>455</v>
      </c>
      <c r="D501" s="560" t="s">
        <v>554</v>
      </c>
      <c r="E501" s="561"/>
      <c r="F501" s="562"/>
      <c r="G501" s="492">
        <v>3.5</v>
      </c>
      <c r="H501" s="417">
        <f>223.35*G501</f>
        <v>781.72500000000002</v>
      </c>
    </row>
    <row r="502" spans="2:8" ht="30" customHeight="1" thickBot="1">
      <c r="B502" s="600"/>
      <c r="C502" s="462" t="s">
        <v>552</v>
      </c>
      <c r="D502" s="563" t="s">
        <v>553</v>
      </c>
      <c r="E502" s="564"/>
      <c r="F502" s="565"/>
      <c r="G502" s="210">
        <v>3.5</v>
      </c>
      <c r="H502" s="491">
        <f>52.62*G502</f>
        <v>184.17</v>
      </c>
    </row>
    <row r="503" spans="2:8" ht="15" customHeight="1">
      <c r="B503" s="601" t="str">
        <f>Orçamento!B160</f>
        <v>11.5</v>
      </c>
      <c r="C503" s="194" t="str">
        <f>Orçamento!E160</f>
        <v xml:space="preserve">PINTURA LATEX ACRILICA 2 DEMAOS </v>
      </c>
      <c r="D503" s="129" t="str">
        <f>Orçamento!G160</f>
        <v>m2</v>
      </c>
      <c r="E503" s="543" t="s">
        <v>560</v>
      </c>
      <c r="F503" s="544"/>
      <c r="G503" s="52" t="s">
        <v>350</v>
      </c>
      <c r="H503" s="351" t="s">
        <v>6</v>
      </c>
    </row>
    <row r="504" spans="2:8" ht="45.95" customHeight="1">
      <c r="B504" s="600"/>
      <c r="C504" s="481" t="s">
        <v>557</v>
      </c>
      <c r="D504" s="554" t="s">
        <v>559</v>
      </c>
      <c r="E504" s="555"/>
      <c r="F504" s="556"/>
      <c r="G504" s="493">
        <v>1.4</v>
      </c>
      <c r="H504" s="417">
        <f>318.42*G504</f>
        <v>445.78800000000001</v>
      </c>
    </row>
    <row r="505" spans="2:8" ht="15.95" customHeight="1" thickBot="1">
      <c r="B505" s="600"/>
      <c r="C505" s="490" t="s">
        <v>558</v>
      </c>
      <c r="D505" s="557">
        <f>H382</f>
        <v>733.56000000000006</v>
      </c>
      <c r="E505" s="558"/>
      <c r="F505" s="559"/>
      <c r="G505" s="494">
        <v>1.4</v>
      </c>
      <c r="H505" s="417">
        <f>D505*G505</f>
        <v>1026.9839999999999</v>
      </c>
    </row>
    <row r="506" spans="2:8" ht="15" customHeight="1">
      <c r="B506" s="601" t="str">
        <f>Orçamento!B161</f>
        <v>11.6</v>
      </c>
      <c r="C506" s="194" t="str">
        <f>Orçamento!E161</f>
        <v xml:space="preserve">EMASSAMENTO COM MASSA PVA UMA DEMAO </v>
      </c>
      <c r="D506" s="129" t="str">
        <f>Orçamento!G161</f>
        <v>m2</v>
      </c>
      <c r="E506" s="543"/>
      <c r="F506" s="547"/>
      <c r="G506" s="544"/>
      <c r="H506" s="351" t="s">
        <v>6</v>
      </c>
    </row>
    <row r="507" spans="2:8" ht="15.75" thickBot="1">
      <c r="B507" s="602"/>
      <c r="C507" s="498" t="s">
        <v>115</v>
      </c>
      <c r="D507" s="551"/>
      <c r="E507" s="552"/>
      <c r="F507" s="552"/>
      <c r="G507" s="553"/>
      <c r="H507" s="354">
        <f>H382</f>
        <v>733.56000000000006</v>
      </c>
    </row>
    <row r="508" spans="2:8">
      <c r="B508" s="601" t="str">
        <f>Orçamento!B162</f>
        <v>11.7</v>
      </c>
      <c r="C508" s="194" t="str">
        <f>Orçamento!E162</f>
        <v>PINTURA ESMALTE 1 DEMÃO EM PAREDE SEM SELADOR</v>
      </c>
      <c r="D508" s="129" t="str">
        <f>Orçamento!G162</f>
        <v>m2</v>
      </c>
      <c r="E508" s="543" t="s">
        <v>560</v>
      </c>
      <c r="F508" s="544"/>
      <c r="G508" s="52" t="s">
        <v>350</v>
      </c>
      <c r="H508" s="351" t="s">
        <v>6</v>
      </c>
    </row>
    <row r="509" spans="2:8" ht="44.1" customHeight="1">
      <c r="B509" s="600"/>
      <c r="C509" s="481" t="s">
        <v>557</v>
      </c>
      <c r="D509" s="554" t="s">
        <v>559</v>
      </c>
      <c r="E509" s="555"/>
      <c r="F509" s="556"/>
      <c r="G509" s="493">
        <v>1.4</v>
      </c>
      <c r="H509" s="417">
        <f>318.42*G509</f>
        <v>445.78800000000001</v>
      </c>
    </row>
    <row r="510" spans="2:8" ht="15" customHeight="1" thickBot="1">
      <c r="B510" s="600"/>
      <c r="C510" s="490" t="s">
        <v>558</v>
      </c>
      <c r="D510" s="557">
        <f>H382</f>
        <v>733.56000000000006</v>
      </c>
      <c r="E510" s="558"/>
      <c r="F510" s="559"/>
      <c r="G510" s="494">
        <v>1.4</v>
      </c>
      <c r="H510" s="417">
        <f>D510*G510</f>
        <v>1026.9839999999999</v>
      </c>
    </row>
    <row r="511" spans="2:8">
      <c r="B511" s="601" t="str">
        <f>Orçamento!B163</f>
        <v>11.8</v>
      </c>
      <c r="C511" s="194" t="str">
        <f>Orçamento!E163</f>
        <v>PINTURA ESMALTE SINTETICO 2 DEMÃOS EM ESQ. MADEIRA</v>
      </c>
      <c r="D511" s="129" t="str">
        <f>Orçamento!G163</f>
        <v>m2</v>
      </c>
      <c r="E511" s="486" t="s">
        <v>543</v>
      </c>
      <c r="F511" s="52" t="s">
        <v>442</v>
      </c>
      <c r="G511" s="486" t="s">
        <v>493</v>
      </c>
      <c r="H511" s="351" t="s">
        <v>6</v>
      </c>
    </row>
    <row r="512" spans="2:8" ht="15" customHeight="1">
      <c r="B512" s="600"/>
      <c r="C512" s="462" t="s">
        <v>542</v>
      </c>
      <c r="D512" s="101"/>
      <c r="E512" s="489" t="s">
        <v>544</v>
      </c>
      <c r="F512" s="487">
        <v>20</v>
      </c>
      <c r="G512" s="101">
        <v>2</v>
      </c>
      <c r="H512" s="476">
        <f>((0.8*2.1)*F512)*G512</f>
        <v>67.2</v>
      </c>
    </row>
    <row r="513" spans="2:8" ht="14.1" customHeight="1">
      <c r="B513" s="600"/>
      <c r="C513" s="462" t="s">
        <v>541</v>
      </c>
      <c r="D513" s="101"/>
      <c r="E513" s="489" t="s">
        <v>545</v>
      </c>
      <c r="F513" s="487">
        <v>24</v>
      </c>
      <c r="G513" s="101">
        <v>2</v>
      </c>
      <c r="H513" s="476">
        <f>((0.9*2.1)*F513)*G513</f>
        <v>90.72</v>
      </c>
    </row>
    <row r="514" spans="2:8" ht="15" customHeight="1" thickBot="1">
      <c r="B514" s="602"/>
      <c r="C514" s="484" t="s">
        <v>540</v>
      </c>
      <c r="D514" s="229"/>
      <c r="E514" s="488" t="s">
        <v>546</v>
      </c>
      <c r="F514" s="222">
        <v>15</v>
      </c>
      <c r="G514" s="485">
        <v>2</v>
      </c>
      <c r="H514" s="416">
        <f>((1*2.1)*F514)*G514</f>
        <v>63</v>
      </c>
    </row>
    <row r="515" spans="2:8">
      <c r="B515" s="601" t="str">
        <f>Orçamento!B164</f>
        <v>11.9</v>
      </c>
      <c r="C515" s="194" t="str">
        <f>Orçamento!E164</f>
        <v>PINT.ESMALTE/ESQUAD.FERRO C/FUNDO ANTICOR.</v>
      </c>
      <c r="D515" s="129" t="str">
        <f>Orçamento!G164</f>
        <v>m2</v>
      </c>
      <c r="E515" s="52" t="s">
        <v>439</v>
      </c>
      <c r="F515" s="52" t="s">
        <v>493</v>
      </c>
      <c r="G515" s="234"/>
      <c r="H515" s="351" t="s">
        <v>6</v>
      </c>
    </row>
    <row r="516" spans="2:8" ht="15">
      <c r="B516" s="600"/>
      <c r="C516" s="481" t="s">
        <v>314</v>
      </c>
      <c r="D516" s="136"/>
      <c r="E516" s="341">
        <f>SUM(H322:H326)</f>
        <v>5.62</v>
      </c>
      <c r="F516" s="50">
        <v>2</v>
      </c>
      <c r="G516" s="480"/>
      <c r="H516" s="354">
        <f>E516*F516</f>
        <v>11.24</v>
      </c>
    </row>
    <row r="517" spans="2:8" ht="15">
      <c r="B517" s="600"/>
      <c r="C517" s="462" t="s">
        <v>315</v>
      </c>
      <c r="D517" s="101"/>
      <c r="E517" s="482">
        <f>H328</f>
        <v>3.3000000000000003</v>
      </c>
      <c r="F517" s="301">
        <v>2</v>
      </c>
      <c r="G517" s="477"/>
      <c r="H517" s="354">
        <f t="shared" ref="H517:H522" si="15">E517*F517</f>
        <v>6.6000000000000005</v>
      </c>
    </row>
    <row r="518" spans="2:8" ht="15">
      <c r="B518" s="600"/>
      <c r="C518" s="462" t="s">
        <v>316</v>
      </c>
      <c r="D518" s="101"/>
      <c r="E518" s="341">
        <f>SUM(H330:H331)</f>
        <v>6.09</v>
      </c>
      <c r="F518" s="301">
        <v>2</v>
      </c>
      <c r="G518" s="477"/>
      <c r="H518" s="354">
        <f t="shared" si="15"/>
        <v>12.18</v>
      </c>
    </row>
    <row r="519" spans="2:8" ht="15">
      <c r="B519" s="600"/>
      <c r="C519" s="462" t="s">
        <v>317</v>
      </c>
      <c r="D519" s="137"/>
      <c r="E519" s="324">
        <f>SUM(H333)</f>
        <v>1.6800000000000002</v>
      </c>
      <c r="F519" s="319">
        <v>2</v>
      </c>
      <c r="G519" s="478"/>
      <c r="H519" s="354">
        <f t="shared" si="15"/>
        <v>3.3600000000000003</v>
      </c>
    </row>
    <row r="520" spans="2:8" ht="15">
      <c r="B520" s="600"/>
      <c r="C520" s="461" t="s">
        <v>318</v>
      </c>
      <c r="D520" s="137"/>
      <c r="E520" s="324">
        <f>SUM(H335:H336)</f>
        <v>6.09</v>
      </c>
      <c r="F520" s="319">
        <v>2</v>
      </c>
      <c r="G520" s="478"/>
      <c r="H520" s="354">
        <f t="shared" si="15"/>
        <v>12.18</v>
      </c>
    </row>
    <row r="521" spans="2:8" ht="15">
      <c r="B521" s="600"/>
      <c r="C521" s="461" t="s">
        <v>319</v>
      </c>
      <c r="D521" s="137"/>
      <c r="E521" s="324">
        <f>H338</f>
        <v>16.065000000000001</v>
      </c>
      <c r="F521" s="319">
        <v>2</v>
      </c>
      <c r="G521" s="478"/>
      <c r="H521" s="354">
        <f t="shared" si="15"/>
        <v>32.130000000000003</v>
      </c>
    </row>
    <row r="522" spans="2:8" ht="15.75" thickBot="1">
      <c r="B522" s="602"/>
      <c r="C522" s="479" t="s">
        <v>320</v>
      </c>
      <c r="D522" s="229"/>
      <c r="E522" s="218">
        <f>H340</f>
        <v>8.9599999999999991</v>
      </c>
      <c r="F522" s="483">
        <v>2</v>
      </c>
      <c r="G522" s="217"/>
      <c r="H522" s="457">
        <f t="shared" si="15"/>
        <v>17.919999999999998</v>
      </c>
    </row>
    <row r="523" spans="2:8">
      <c r="B523" s="601" t="str">
        <f>Orçamento!B165</f>
        <v>11.10</v>
      </c>
      <c r="C523" s="194" t="str">
        <f>Orçamento!E165</f>
        <v>LIMPEZA FINAL DE OBRA - (OBRAS CIVIS)</v>
      </c>
      <c r="D523" s="129" t="str">
        <f>Orçamento!G165</f>
        <v>m2</v>
      </c>
      <c r="E523" s="52"/>
      <c r="F523" s="52"/>
      <c r="G523" s="234"/>
      <c r="H523" s="351" t="s">
        <v>6</v>
      </c>
    </row>
    <row r="524" spans="2:8" ht="15.75" thickBot="1">
      <c r="B524" s="602"/>
      <c r="C524" s="295" t="s">
        <v>446</v>
      </c>
      <c r="D524" s="313">
        <f>H101</f>
        <v>1031.95</v>
      </c>
      <c r="E524" s="218"/>
      <c r="F524" s="218"/>
      <c r="G524" s="217"/>
      <c r="H524" s="359">
        <f>D524</f>
        <v>1031.95</v>
      </c>
    </row>
    <row r="525" spans="2:8">
      <c r="B525" s="601" t="str">
        <f>Orçamento!B166</f>
        <v>11.11</v>
      </c>
      <c r="C525" s="194" t="str">
        <f>Orçamento!E166</f>
        <v>PLACA DE INAUGURACAO ACO ESCOVADO 80 X 60 CM</v>
      </c>
      <c r="D525" s="129" t="str">
        <f>Orçamento!G166</f>
        <v>unid.</v>
      </c>
      <c r="E525" s="52"/>
      <c r="F525" s="52"/>
      <c r="G525" s="234"/>
      <c r="H525" s="351" t="s">
        <v>6</v>
      </c>
    </row>
    <row r="526" spans="2:8" ht="15.75" thickBot="1">
      <c r="B526" s="602"/>
      <c r="C526" s="216"/>
      <c r="D526" s="229"/>
      <c r="E526" s="218"/>
      <c r="F526" s="218"/>
      <c r="G526" s="217"/>
      <c r="H526" s="408">
        <v>1</v>
      </c>
    </row>
    <row r="527" spans="2:8">
      <c r="B527" s="601" t="str">
        <f>Orçamento!B167</f>
        <v>11.12</v>
      </c>
      <c r="C527" s="194" t="str">
        <f>Orçamento!E167</f>
        <v>BANCADA DE GRANITO C/ESPELHO</v>
      </c>
      <c r="D527" s="129" t="str">
        <f>Orçamento!G167</f>
        <v>m2</v>
      </c>
      <c r="E527" s="52" t="s">
        <v>168</v>
      </c>
      <c r="F527" s="52" t="s">
        <v>169</v>
      </c>
      <c r="G527" s="333" t="s">
        <v>442</v>
      </c>
      <c r="H527" s="53" t="s">
        <v>6</v>
      </c>
    </row>
    <row r="528" spans="2:8" ht="15" customHeight="1">
      <c r="B528" s="600"/>
      <c r="C528" s="342" t="s">
        <v>459</v>
      </c>
      <c r="D528" s="101"/>
      <c r="E528" s="341">
        <v>0.75</v>
      </c>
      <c r="F528" s="341">
        <v>0.6</v>
      </c>
      <c r="G528" s="303">
        <v>2</v>
      </c>
      <c r="H528" s="344">
        <f>(E528*F528)*G528</f>
        <v>0.89999999999999991</v>
      </c>
    </row>
    <row r="529" spans="2:11" ht="14.1" customHeight="1">
      <c r="B529" s="600"/>
      <c r="C529" s="306" t="s">
        <v>444</v>
      </c>
      <c r="D529" s="101"/>
      <c r="E529" s="341">
        <v>1.4</v>
      </c>
      <c r="F529" s="341">
        <v>0.6</v>
      </c>
      <c r="G529" s="303">
        <v>2</v>
      </c>
      <c r="H529" s="344">
        <f t="shared" ref="H529:H534" si="16">(E529*F529)*G529</f>
        <v>1.68</v>
      </c>
    </row>
    <row r="530" spans="2:11" ht="14.1" customHeight="1">
      <c r="B530" s="600"/>
      <c r="C530" s="306" t="s">
        <v>456</v>
      </c>
      <c r="D530" s="101"/>
      <c r="E530" s="341">
        <v>2.9</v>
      </c>
      <c r="F530" s="341">
        <v>0.6</v>
      </c>
      <c r="G530" s="303">
        <v>1</v>
      </c>
      <c r="H530" s="344">
        <f t="shared" si="16"/>
        <v>1.74</v>
      </c>
    </row>
    <row r="531" spans="2:11" ht="14.1" customHeight="1">
      <c r="B531" s="600"/>
      <c r="C531" s="306" t="s">
        <v>376</v>
      </c>
      <c r="D531" s="101"/>
      <c r="E531" s="341">
        <v>0.75</v>
      </c>
      <c r="F531" s="341">
        <v>0.5</v>
      </c>
      <c r="G531" s="303">
        <v>1</v>
      </c>
      <c r="H531" s="344">
        <f t="shared" si="16"/>
        <v>0.375</v>
      </c>
    </row>
    <row r="532" spans="2:11" ht="14.1" customHeight="1">
      <c r="B532" s="600"/>
      <c r="C532" s="306" t="s">
        <v>375</v>
      </c>
      <c r="D532" s="101"/>
      <c r="E532" s="341">
        <v>0.75</v>
      </c>
      <c r="F532" s="341">
        <v>0.5</v>
      </c>
      <c r="G532" s="303">
        <v>1</v>
      </c>
      <c r="H532" s="344">
        <f t="shared" si="16"/>
        <v>0.375</v>
      </c>
    </row>
    <row r="533" spans="2:11" ht="14.1" customHeight="1">
      <c r="B533" s="600"/>
      <c r="C533" s="306" t="s">
        <v>366</v>
      </c>
      <c r="D533" s="101"/>
      <c r="E533" s="341" t="s">
        <v>460</v>
      </c>
      <c r="F533" s="341">
        <v>0.5</v>
      </c>
      <c r="G533" s="303">
        <v>1</v>
      </c>
      <c r="H533" s="344">
        <f>(1.1+2.3*F533)*G533</f>
        <v>2.25</v>
      </c>
    </row>
    <row r="534" spans="2:11" ht="14.1" customHeight="1">
      <c r="B534" s="600"/>
      <c r="C534" s="342" t="s">
        <v>461</v>
      </c>
      <c r="D534" s="101"/>
      <c r="E534" s="341">
        <v>0.75</v>
      </c>
      <c r="F534" s="341">
        <v>0.5</v>
      </c>
      <c r="G534" s="303">
        <v>2</v>
      </c>
      <c r="H534" s="344">
        <f t="shared" si="16"/>
        <v>0.75</v>
      </c>
    </row>
    <row r="535" spans="2:11" ht="15" customHeight="1" thickBot="1">
      <c r="B535" s="602"/>
      <c r="C535" s="295" t="s">
        <v>451</v>
      </c>
      <c r="D535" s="229"/>
      <c r="E535" s="325">
        <v>1.2</v>
      </c>
      <c r="F535" s="218">
        <v>0.6</v>
      </c>
      <c r="G535" s="343">
        <v>2</v>
      </c>
      <c r="H535" s="345">
        <f>(E535*F535)*G535</f>
        <v>1.44</v>
      </c>
    </row>
    <row r="536" spans="2:11" ht="38.25">
      <c r="B536" s="600" t="str">
        <f>Orçamento!B168</f>
        <v>11.13</v>
      </c>
      <c r="C536" s="197" t="str">
        <f>Orçamento!E168</f>
        <v>MEIO FIO PD. AGETOP EM CONC. PRÉ MOLD. RETO/CURVO (5X25X100CM), FC28=20MPA COM ARGAM.(1CI:3ARMLC) P/ARREMATE DO REJUNT. E PINTURA A CAL 2 DEMÃOS - INCLUSO ESCAV./APILOAM./REATERRO E CONC.FC28= 10MPA P/ ASSENTAM. E CHUMBAMENTO</v>
      </c>
      <c r="D536" s="136" t="str">
        <f>Orçamento!G168</f>
        <v>m</v>
      </c>
      <c r="E536" s="603" t="s">
        <v>168</v>
      </c>
      <c r="F536" s="604"/>
      <c r="G536" s="605"/>
      <c r="H536" s="54" t="s">
        <v>6</v>
      </c>
    </row>
    <row r="537" spans="2:11" ht="15.75" thickBot="1">
      <c r="B537" s="673"/>
      <c r="C537" s="196"/>
      <c r="D537" s="128"/>
      <c r="E537" s="674" t="s">
        <v>551</v>
      </c>
      <c r="F537" s="675"/>
      <c r="G537" s="676"/>
      <c r="H537" s="344">
        <v>18.16</v>
      </c>
    </row>
    <row r="538" spans="2:11">
      <c r="B538" s="202"/>
      <c r="C538" s="203"/>
      <c r="D538" s="138"/>
      <c r="E538" s="138"/>
      <c r="F538" s="139"/>
      <c r="G538" s="138"/>
      <c r="H538" s="140"/>
    </row>
    <row r="539" spans="2:11" s="6" customFormat="1" ht="68.099999999999994" customHeight="1">
      <c r="B539" s="22"/>
      <c r="C539" s="85"/>
      <c r="D539" s="11"/>
      <c r="E539" s="12"/>
      <c r="F539" s="85"/>
      <c r="G539" s="85"/>
      <c r="H539" s="86"/>
      <c r="I539" s="85"/>
      <c r="J539" s="85"/>
      <c r="K539" s="21"/>
    </row>
    <row r="540" spans="2:11" s="6" customFormat="1" ht="12">
      <c r="B540" s="22"/>
      <c r="C540" s="512" t="s">
        <v>23</v>
      </c>
      <c r="D540" s="512"/>
      <c r="E540" s="512" t="s">
        <v>23</v>
      </c>
      <c r="F540" s="512"/>
      <c r="G540" s="512"/>
      <c r="H540" s="83"/>
      <c r="I540" s="185"/>
      <c r="J540" s="21"/>
    </row>
    <row r="541" spans="2:11" s="6" customFormat="1" ht="15">
      <c r="B541" s="22"/>
      <c r="C541" s="542" t="s">
        <v>24</v>
      </c>
      <c r="D541" s="542"/>
      <c r="E541" s="542" t="s">
        <v>26</v>
      </c>
      <c r="F541" s="542"/>
      <c r="G541" s="542"/>
      <c r="H541" s="82"/>
      <c r="I541" s="183"/>
      <c r="J541" s="21"/>
    </row>
    <row r="542" spans="2:11" s="6" customFormat="1" ht="15">
      <c r="B542" s="22"/>
      <c r="C542" s="542" t="s">
        <v>25</v>
      </c>
      <c r="D542" s="542"/>
      <c r="E542" s="533" t="s">
        <v>27</v>
      </c>
      <c r="F542" s="533"/>
      <c r="G542" s="533"/>
      <c r="H542" s="84"/>
      <c r="I542" s="184"/>
      <c r="J542" s="21"/>
    </row>
    <row r="543" spans="2:11" s="6" customFormat="1" thickBot="1">
      <c r="B543" s="23"/>
      <c r="C543" s="24"/>
      <c r="D543" s="24"/>
      <c r="E543" s="25"/>
      <c r="F543" s="26"/>
      <c r="G543" s="24"/>
      <c r="H543" s="27"/>
      <c r="I543" s="127"/>
      <c r="J543" s="127"/>
      <c r="K543" s="21"/>
    </row>
  </sheetData>
  <mergeCells count="427">
    <mergeCell ref="B108:B117"/>
    <mergeCell ref="E11:G11"/>
    <mergeCell ref="E26:G26"/>
    <mergeCell ref="E36:G36"/>
    <mergeCell ref="E65:G65"/>
    <mergeCell ref="E72:G72"/>
    <mergeCell ref="E90:G90"/>
    <mergeCell ref="E83:G83"/>
    <mergeCell ref="E77:G77"/>
    <mergeCell ref="E100:G100"/>
    <mergeCell ref="B36:B46"/>
    <mergeCell ref="B63:B64"/>
    <mergeCell ref="B72:B76"/>
    <mergeCell ref="B77:B82"/>
    <mergeCell ref="B105:B106"/>
    <mergeCell ref="B83:B89"/>
    <mergeCell ref="B90:B91"/>
    <mergeCell ref="B94:B95"/>
    <mergeCell ref="B96:B97"/>
    <mergeCell ref="B98:B99"/>
    <mergeCell ref="B100:B101"/>
    <mergeCell ref="B47:B62"/>
    <mergeCell ref="B102:B104"/>
    <mergeCell ref="B65:B71"/>
    <mergeCell ref="D91:G91"/>
    <mergeCell ref="D95:G95"/>
    <mergeCell ref="D101:G101"/>
    <mergeCell ref="E261:G261"/>
    <mergeCell ref="E253:G253"/>
    <mergeCell ref="B255:B256"/>
    <mergeCell ref="E255:G255"/>
    <mergeCell ref="B257:B258"/>
    <mergeCell ref="E257:G257"/>
    <mergeCell ref="B259:B260"/>
    <mergeCell ref="E259:G259"/>
    <mergeCell ref="E245:G245"/>
    <mergeCell ref="B247:B248"/>
    <mergeCell ref="E247:G247"/>
    <mergeCell ref="B249:B250"/>
    <mergeCell ref="E249:G249"/>
    <mergeCell ref="B251:B252"/>
    <mergeCell ref="E229:G229"/>
    <mergeCell ref="E209:G209"/>
    <mergeCell ref="E211:G211"/>
    <mergeCell ref="B231:B232"/>
    <mergeCell ref="E231:G231"/>
    <mergeCell ref="B233:B234"/>
    <mergeCell ref="E233:G233"/>
    <mergeCell ref="B235:B236"/>
    <mergeCell ref="B209:B210"/>
    <mergeCell ref="B193:B194"/>
    <mergeCell ref="B191:B192"/>
    <mergeCell ref="B189:B190"/>
    <mergeCell ref="B201:B202"/>
    <mergeCell ref="B203:B204"/>
    <mergeCell ref="B205:B206"/>
    <mergeCell ref="B195:B196"/>
    <mergeCell ref="B197:B198"/>
    <mergeCell ref="B199:B200"/>
    <mergeCell ref="B207:B208"/>
    <mergeCell ref="B263:B264"/>
    <mergeCell ref="E263:G263"/>
    <mergeCell ref="B277:B279"/>
    <mergeCell ref="B280:B286"/>
    <mergeCell ref="B319:B320"/>
    <mergeCell ref="D306:G306"/>
    <mergeCell ref="D320:G320"/>
    <mergeCell ref="E319:G319"/>
    <mergeCell ref="E343:G343"/>
    <mergeCell ref="C542:D542"/>
    <mergeCell ref="E542:G542"/>
    <mergeCell ref="E540:G540"/>
    <mergeCell ref="C540:D540"/>
    <mergeCell ref="B341:B345"/>
    <mergeCell ref="B294:B297"/>
    <mergeCell ref="B308:B311"/>
    <mergeCell ref="B416:B419"/>
    <mergeCell ref="B492:B493"/>
    <mergeCell ref="B511:B514"/>
    <mergeCell ref="B515:B522"/>
    <mergeCell ref="B536:B537"/>
    <mergeCell ref="B503:B505"/>
    <mergeCell ref="B506:B507"/>
    <mergeCell ref="B508:B510"/>
    <mergeCell ref="B298:B300"/>
    <mergeCell ref="E536:G536"/>
    <mergeCell ref="E537:G537"/>
    <mergeCell ref="B347:B348"/>
    <mergeCell ref="E342:G342"/>
    <mergeCell ref="E349:G349"/>
    <mergeCell ref="E350:G350"/>
    <mergeCell ref="B485:B486"/>
    <mergeCell ref="B489:B490"/>
    <mergeCell ref="B128:B129"/>
    <mergeCell ref="B130:B131"/>
    <mergeCell ref="B132:B134"/>
    <mergeCell ref="B135:B136"/>
    <mergeCell ref="B137:B140"/>
    <mergeCell ref="B141:B144"/>
    <mergeCell ref="E154:G154"/>
    <mergeCell ref="E156:G156"/>
    <mergeCell ref="C541:D541"/>
    <mergeCell ref="E541:G541"/>
    <mergeCell ref="E195:G195"/>
    <mergeCell ref="E197:G197"/>
    <mergeCell ref="E199:G199"/>
    <mergeCell ref="E191:G191"/>
    <mergeCell ref="E193:G193"/>
    <mergeCell ref="E251:G251"/>
    <mergeCell ref="E237:G237"/>
    <mergeCell ref="B239:B240"/>
    <mergeCell ref="E239:G239"/>
    <mergeCell ref="B241:B242"/>
    <mergeCell ref="E241:G241"/>
    <mergeCell ref="B243:B244"/>
    <mergeCell ref="E243:G243"/>
    <mergeCell ref="D240:G240"/>
    <mergeCell ref="B166:B167"/>
    <mergeCell ref="B168:B169"/>
    <mergeCell ref="E162:G162"/>
    <mergeCell ref="E164:G164"/>
    <mergeCell ref="E170:G170"/>
    <mergeCell ref="B10:H10"/>
    <mergeCell ref="B2:H2"/>
    <mergeCell ref="B3:H3"/>
    <mergeCell ref="B4:H4"/>
    <mergeCell ref="B6:H6"/>
    <mergeCell ref="C5:H5"/>
    <mergeCell ref="B7:H7"/>
    <mergeCell ref="B8:H8"/>
    <mergeCell ref="E9:H9"/>
    <mergeCell ref="B121:B123"/>
    <mergeCell ref="B160:B161"/>
    <mergeCell ref="E160:G160"/>
    <mergeCell ref="B148:B149"/>
    <mergeCell ref="B124:B125"/>
    <mergeCell ref="B119:B120"/>
    <mergeCell ref="E146:G146"/>
    <mergeCell ref="E148:G148"/>
    <mergeCell ref="E150:G150"/>
    <mergeCell ref="B126:B127"/>
    <mergeCell ref="B237:B238"/>
    <mergeCell ref="B527:B535"/>
    <mergeCell ref="B427:B429"/>
    <mergeCell ref="B317:B318"/>
    <mergeCell ref="B420:B426"/>
    <mergeCell ref="B312:B315"/>
    <mergeCell ref="B332:B333"/>
    <mergeCell ref="B334:B336"/>
    <mergeCell ref="B337:B338"/>
    <mergeCell ref="B339:B340"/>
    <mergeCell ref="B487:B488"/>
    <mergeCell ref="B430:B440"/>
    <mergeCell ref="B523:B524"/>
    <mergeCell ref="B525:B526"/>
    <mergeCell ref="B321:B326"/>
    <mergeCell ref="B327:B328"/>
    <mergeCell ref="B329:B331"/>
    <mergeCell ref="B441:B470"/>
    <mergeCell ref="B494:B495"/>
    <mergeCell ref="B412:B415"/>
    <mergeCell ref="B351:B380"/>
    <mergeCell ref="B349:B350"/>
    <mergeCell ref="B381:B400"/>
    <mergeCell ref="B401:B411"/>
    <mergeCell ref="D222:G222"/>
    <mergeCell ref="D224:G224"/>
    <mergeCell ref="D226:G226"/>
    <mergeCell ref="D254:G254"/>
    <mergeCell ref="D256:G256"/>
    <mergeCell ref="D258:G258"/>
    <mergeCell ref="D260:G260"/>
    <mergeCell ref="D262:G262"/>
    <mergeCell ref="D264:G264"/>
    <mergeCell ref="D246:G246"/>
    <mergeCell ref="D248:G248"/>
    <mergeCell ref="D250:G250"/>
    <mergeCell ref="D252:G252"/>
    <mergeCell ref="B500:B502"/>
    <mergeCell ref="B267:H267"/>
    <mergeCell ref="B293:H293"/>
    <mergeCell ref="B316:H316"/>
    <mergeCell ref="B346:H346"/>
    <mergeCell ref="B482:H482"/>
    <mergeCell ref="B491:H491"/>
    <mergeCell ref="B287:B292"/>
    <mergeCell ref="B268:B276"/>
    <mergeCell ref="E347:F347"/>
    <mergeCell ref="B301:B304"/>
    <mergeCell ref="E345:G345"/>
    <mergeCell ref="E308:G308"/>
    <mergeCell ref="B471:B481"/>
    <mergeCell ref="B483:B484"/>
    <mergeCell ref="B305:B307"/>
    <mergeCell ref="E344:G344"/>
    <mergeCell ref="D34:G34"/>
    <mergeCell ref="D56:G56"/>
    <mergeCell ref="D39:G39"/>
    <mergeCell ref="D46:G46"/>
    <mergeCell ref="D40:G40"/>
    <mergeCell ref="D29:G29"/>
    <mergeCell ref="E47:G47"/>
    <mergeCell ref="B227:B228"/>
    <mergeCell ref="B229:B230"/>
    <mergeCell ref="B176:B177"/>
    <mergeCell ref="B174:B175"/>
    <mergeCell ref="B178:B179"/>
    <mergeCell ref="B180:B181"/>
    <mergeCell ref="B182:B183"/>
    <mergeCell ref="E184:G184"/>
    <mergeCell ref="B184:B185"/>
    <mergeCell ref="E176:G176"/>
    <mergeCell ref="E178:G178"/>
    <mergeCell ref="E180:G180"/>
    <mergeCell ref="B146:B147"/>
    <mergeCell ref="E166:G166"/>
    <mergeCell ref="E158:G158"/>
    <mergeCell ref="E168:G168"/>
    <mergeCell ref="E152:G152"/>
    <mergeCell ref="D12:G12"/>
    <mergeCell ref="D13:G13"/>
    <mergeCell ref="D14:G14"/>
    <mergeCell ref="D15:G15"/>
    <mergeCell ref="D16:G16"/>
    <mergeCell ref="D17:G17"/>
    <mergeCell ref="D18:G18"/>
    <mergeCell ref="B11:B25"/>
    <mergeCell ref="B92:B93"/>
    <mergeCell ref="D27:G27"/>
    <mergeCell ref="D28:G28"/>
    <mergeCell ref="D31:G31"/>
    <mergeCell ref="D32:G32"/>
    <mergeCell ref="D33:G33"/>
    <mergeCell ref="D35:G35"/>
    <mergeCell ref="D37:G37"/>
    <mergeCell ref="D38:G38"/>
    <mergeCell ref="D22:G22"/>
    <mergeCell ref="D23:G23"/>
    <mergeCell ref="D24:G24"/>
    <mergeCell ref="D25:G25"/>
    <mergeCell ref="D43:G43"/>
    <mergeCell ref="D42:G42"/>
    <mergeCell ref="D44:G44"/>
    <mergeCell ref="B26:B35"/>
    <mergeCell ref="D30:G30"/>
    <mergeCell ref="D41:G41"/>
    <mergeCell ref="D19:G19"/>
    <mergeCell ref="D20:G20"/>
    <mergeCell ref="D21:G21"/>
    <mergeCell ref="D66:G66"/>
    <mergeCell ref="D71:G71"/>
    <mergeCell ref="D67:G67"/>
    <mergeCell ref="D70:G70"/>
    <mergeCell ref="D69:G69"/>
    <mergeCell ref="D68:G68"/>
    <mergeCell ref="D45:G45"/>
    <mergeCell ref="D48:G48"/>
    <mergeCell ref="D49:G49"/>
    <mergeCell ref="D52:G52"/>
    <mergeCell ref="D53:G53"/>
    <mergeCell ref="D54:G54"/>
    <mergeCell ref="D55:G55"/>
    <mergeCell ref="D57:G57"/>
    <mergeCell ref="D62:G62"/>
    <mergeCell ref="D50:G50"/>
    <mergeCell ref="D58:G58"/>
    <mergeCell ref="D59:G59"/>
    <mergeCell ref="D60:G60"/>
    <mergeCell ref="D61:G61"/>
    <mergeCell ref="D51:G51"/>
    <mergeCell ref="B211:B212"/>
    <mergeCell ref="B213:B214"/>
    <mergeCell ref="B215:B216"/>
    <mergeCell ref="B217:B218"/>
    <mergeCell ref="B265:B266"/>
    <mergeCell ref="B219:B220"/>
    <mergeCell ref="E219:G219"/>
    <mergeCell ref="B221:B222"/>
    <mergeCell ref="E221:G221"/>
    <mergeCell ref="B223:B224"/>
    <mergeCell ref="E223:G223"/>
    <mergeCell ref="B225:B226"/>
    <mergeCell ref="E225:G225"/>
    <mergeCell ref="E217:G217"/>
    <mergeCell ref="E265:G265"/>
    <mergeCell ref="D73:G73"/>
    <mergeCell ref="D74:G74"/>
    <mergeCell ref="D75:G75"/>
    <mergeCell ref="D76:G76"/>
    <mergeCell ref="B107:H107"/>
    <mergeCell ref="B118:H118"/>
    <mergeCell ref="D78:G78"/>
    <mergeCell ref="D82:G82"/>
    <mergeCell ref="D84:G84"/>
    <mergeCell ref="D85:G85"/>
    <mergeCell ref="D86:G86"/>
    <mergeCell ref="D87:G87"/>
    <mergeCell ref="D88:G88"/>
    <mergeCell ref="D89:G89"/>
    <mergeCell ref="D79:G79"/>
    <mergeCell ref="D80:G80"/>
    <mergeCell ref="D81:G81"/>
    <mergeCell ref="E203:G203"/>
    <mergeCell ref="D163:G163"/>
    <mergeCell ref="D165:G165"/>
    <mergeCell ref="D167:G167"/>
    <mergeCell ref="D169:G169"/>
    <mergeCell ref="D171:G171"/>
    <mergeCell ref="D173:G173"/>
    <mergeCell ref="D175:G175"/>
    <mergeCell ref="D177:G177"/>
    <mergeCell ref="D179:G179"/>
    <mergeCell ref="D181:G181"/>
    <mergeCell ref="D183:G183"/>
    <mergeCell ref="D185:G185"/>
    <mergeCell ref="D188:G188"/>
    <mergeCell ref="E172:G172"/>
    <mergeCell ref="E182:G182"/>
    <mergeCell ref="B245:B246"/>
    <mergeCell ref="B253:B254"/>
    <mergeCell ref="B261:B262"/>
    <mergeCell ref="B496:B499"/>
    <mergeCell ref="E227:G227"/>
    <mergeCell ref="E235:G235"/>
    <mergeCell ref="E341:G341"/>
    <mergeCell ref="H402:H411"/>
    <mergeCell ref="E268:F268"/>
    <mergeCell ref="D269:F269"/>
    <mergeCell ref="D276:F276"/>
    <mergeCell ref="D309:G309"/>
    <mergeCell ref="D310:G310"/>
    <mergeCell ref="D311:G311"/>
    <mergeCell ref="E305:G305"/>
    <mergeCell ref="D228:G228"/>
    <mergeCell ref="D230:G230"/>
    <mergeCell ref="D232:G232"/>
    <mergeCell ref="D234:G234"/>
    <mergeCell ref="D236:G236"/>
    <mergeCell ref="D238:G238"/>
    <mergeCell ref="D242:G242"/>
    <mergeCell ref="D244:G244"/>
    <mergeCell ref="D266:G266"/>
    <mergeCell ref="D161:G161"/>
    <mergeCell ref="D190:G190"/>
    <mergeCell ref="D192:G192"/>
    <mergeCell ref="D194:G194"/>
    <mergeCell ref="D196:G196"/>
    <mergeCell ref="D198:G198"/>
    <mergeCell ref="D200:G200"/>
    <mergeCell ref="D202:G202"/>
    <mergeCell ref="B145:H145"/>
    <mergeCell ref="B187:B188"/>
    <mergeCell ref="E187:G187"/>
    <mergeCell ref="B162:B163"/>
    <mergeCell ref="B172:B173"/>
    <mergeCell ref="B186:H186"/>
    <mergeCell ref="E174:G174"/>
    <mergeCell ref="E189:G189"/>
    <mergeCell ref="E201:G201"/>
    <mergeCell ref="B164:B165"/>
    <mergeCell ref="B158:B159"/>
    <mergeCell ref="B170:B171"/>
    <mergeCell ref="B150:B151"/>
    <mergeCell ref="B152:B153"/>
    <mergeCell ref="B154:B155"/>
    <mergeCell ref="B156:B157"/>
    <mergeCell ref="E94:G94"/>
    <mergeCell ref="D147:G147"/>
    <mergeCell ref="D149:G149"/>
    <mergeCell ref="D151:G151"/>
    <mergeCell ref="D153:G153"/>
    <mergeCell ref="D155:G155"/>
    <mergeCell ref="D157:G157"/>
    <mergeCell ref="D159:G159"/>
    <mergeCell ref="D120:E120"/>
    <mergeCell ref="D204:G204"/>
    <mergeCell ref="D206:G206"/>
    <mergeCell ref="D208:G208"/>
    <mergeCell ref="D210:G210"/>
    <mergeCell ref="D212:G212"/>
    <mergeCell ref="D214:G214"/>
    <mergeCell ref="D216:G216"/>
    <mergeCell ref="D218:G218"/>
    <mergeCell ref="D220:G220"/>
    <mergeCell ref="E207:G207"/>
    <mergeCell ref="E215:G215"/>
    <mergeCell ref="E213:G213"/>
    <mergeCell ref="E205:G205"/>
    <mergeCell ref="D270:F270"/>
    <mergeCell ref="D271:F271"/>
    <mergeCell ref="D272:F272"/>
    <mergeCell ref="D274:F274"/>
    <mergeCell ref="D273:F273"/>
    <mergeCell ref="D275:F275"/>
    <mergeCell ref="D288:E288"/>
    <mergeCell ref="D289:E289"/>
    <mergeCell ref="D290:E290"/>
    <mergeCell ref="D291:E291"/>
    <mergeCell ref="D292:E292"/>
    <mergeCell ref="H382:H400"/>
    <mergeCell ref="D428:E428"/>
    <mergeCell ref="D429:E429"/>
    <mergeCell ref="H442:H470"/>
    <mergeCell ref="H352:H380"/>
    <mergeCell ref="D307:G307"/>
    <mergeCell ref="E312:F312"/>
    <mergeCell ref="D313:F313"/>
    <mergeCell ref="D314:F314"/>
    <mergeCell ref="D315:F315"/>
    <mergeCell ref="E348:F348"/>
    <mergeCell ref="F492:G492"/>
    <mergeCell ref="F493:G493"/>
    <mergeCell ref="E496:G496"/>
    <mergeCell ref="D497:G497"/>
    <mergeCell ref="D498:G498"/>
    <mergeCell ref="D499:G499"/>
    <mergeCell ref="D509:F509"/>
    <mergeCell ref="D510:F510"/>
    <mergeCell ref="E508:F508"/>
    <mergeCell ref="E503:F503"/>
    <mergeCell ref="D504:F504"/>
    <mergeCell ref="D505:F505"/>
    <mergeCell ref="D501:F501"/>
    <mergeCell ref="D502:F502"/>
    <mergeCell ref="E500:F500"/>
    <mergeCell ref="D507:G507"/>
    <mergeCell ref="E506:G506"/>
  </mergeCells>
  <phoneticPr fontId="44" type="noConversion"/>
  <printOptions horizontalCentered="1"/>
  <pageMargins left="0.2" right="0.2" top="0.2" bottom="0.2" header="0.30000000000000004" footer="0.30000000000000004"/>
  <pageSetup paperSize="9" scale="62" fitToHeight="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32"/>
  <sheetViews>
    <sheetView view="pageBreakPreview" zoomScale="60" zoomScaleNormal="60" zoomScaleSheetLayoutView="98" zoomScalePageLayoutView="60" workbookViewId="0">
      <selection activeCell="M41" sqref="M41"/>
    </sheetView>
  </sheetViews>
  <sheetFormatPr defaultColWidth="8.85546875" defaultRowHeight="15"/>
  <cols>
    <col min="2" max="2" width="5.85546875" customWidth="1"/>
    <col min="3" max="3" width="49.28515625" customWidth="1"/>
    <col min="4" max="19" width="13.42578125" customWidth="1"/>
    <col min="20" max="20" width="20" customWidth="1"/>
    <col min="21" max="21" width="14.28515625" customWidth="1"/>
  </cols>
  <sheetData>
    <row r="1" spans="2:21" ht="15.75" thickBot="1"/>
    <row r="2" spans="2:21">
      <c r="B2" s="693"/>
      <c r="C2" s="694"/>
      <c r="D2" s="694"/>
      <c r="E2" s="694"/>
      <c r="F2" s="694"/>
      <c r="G2" s="694"/>
      <c r="H2" s="694"/>
      <c r="I2" s="694"/>
      <c r="J2" s="694"/>
      <c r="K2" s="694"/>
      <c r="L2" s="694"/>
      <c r="M2" s="694"/>
      <c r="N2" s="694"/>
      <c r="O2" s="694"/>
      <c r="P2" s="694"/>
      <c r="Q2" s="694"/>
      <c r="R2" s="694"/>
      <c r="S2" s="694"/>
      <c r="T2" s="694"/>
      <c r="U2" s="695"/>
    </row>
    <row r="3" spans="2:21" ht="20.25">
      <c r="B3" s="42"/>
      <c r="C3" s="120"/>
      <c r="D3" s="712" t="s">
        <v>0</v>
      </c>
      <c r="E3" s="712"/>
      <c r="F3" s="712"/>
      <c r="G3" s="712"/>
      <c r="H3" s="712"/>
      <c r="I3" s="712"/>
      <c r="J3" s="712"/>
      <c r="K3" s="712"/>
      <c r="L3" s="712"/>
      <c r="M3" s="712"/>
      <c r="N3" s="712"/>
      <c r="O3" s="712"/>
      <c r="P3" s="712"/>
      <c r="Q3" s="712"/>
      <c r="R3" s="712"/>
      <c r="S3" s="712"/>
      <c r="T3" s="712"/>
      <c r="U3" s="713"/>
    </row>
    <row r="4" spans="2:21" ht="18">
      <c r="B4" s="42"/>
      <c r="C4" s="118"/>
      <c r="D4" s="714" t="s">
        <v>1</v>
      </c>
      <c r="E4" s="714"/>
      <c r="F4" s="714"/>
      <c r="G4" s="714"/>
      <c r="H4" s="714"/>
      <c r="I4" s="714"/>
      <c r="J4" s="714"/>
      <c r="K4" s="714"/>
      <c r="L4" s="714"/>
      <c r="M4" s="714"/>
      <c r="N4" s="714"/>
      <c r="O4" s="714"/>
      <c r="P4" s="714"/>
      <c r="Q4" s="714"/>
      <c r="R4" s="714"/>
      <c r="S4" s="714"/>
      <c r="T4" s="714"/>
      <c r="U4" s="715"/>
    </row>
    <row r="5" spans="2:21" ht="18">
      <c r="B5" s="42"/>
      <c r="C5" s="118"/>
      <c r="D5" s="714" t="s">
        <v>31</v>
      </c>
      <c r="E5" s="714"/>
      <c r="F5" s="714"/>
      <c r="G5" s="714"/>
      <c r="H5" s="714"/>
      <c r="I5" s="714"/>
      <c r="J5" s="714"/>
      <c r="K5" s="714"/>
      <c r="L5" s="714"/>
      <c r="M5" s="714"/>
      <c r="N5" s="714"/>
      <c r="O5" s="714"/>
      <c r="P5" s="714"/>
      <c r="Q5" s="714"/>
      <c r="R5" s="714"/>
      <c r="S5" s="714"/>
      <c r="T5" s="714"/>
      <c r="U5" s="715"/>
    </row>
    <row r="6" spans="2:21">
      <c r="B6" s="42"/>
      <c r="C6" s="119"/>
      <c r="D6" s="716" t="str">
        <f>Orçamento!B6</f>
        <v>AGETOP - Tabela 133 - Custo Obras Civis - Dezembro/2018 - Desonerada</v>
      </c>
      <c r="E6" s="716"/>
      <c r="F6" s="716"/>
      <c r="G6" s="716"/>
      <c r="H6" s="716"/>
      <c r="I6" s="716"/>
      <c r="J6" s="716"/>
      <c r="K6" s="716"/>
      <c r="L6" s="716"/>
      <c r="M6" s="716"/>
      <c r="N6" s="716"/>
      <c r="O6" s="716"/>
      <c r="P6" s="716"/>
      <c r="Q6" s="716"/>
      <c r="R6" s="716"/>
      <c r="S6" s="716"/>
      <c r="T6" s="716"/>
      <c r="U6" s="717"/>
    </row>
    <row r="7" spans="2:21" ht="15.75" thickBot="1">
      <c r="B7" s="42"/>
      <c r="C7" s="119"/>
      <c r="D7" s="721" t="str">
        <f>Orçamento!B7</f>
        <v>AGETOP (I) - Tabela 133 - Custo Mão de obra - Dezembro/2018 - Desonerada</v>
      </c>
      <c r="E7" s="721"/>
      <c r="F7" s="721"/>
      <c r="G7" s="721"/>
      <c r="H7" s="721"/>
      <c r="I7" s="721"/>
      <c r="J7" s="721"/>
      <c r="K7" s="721"/>
      <c r="L7" s="721"/>
      <c r="M7" s="721"/>
      <c r="N7" s="721"/>
      <c r="O7" s="721"/>
      <c r="P7" s="721"/>
      <c r="Q7" s="721"/>
      <c r="R7" s="721"/>
      <c r="S7" s="721"/>
      <c r="T7" s="721"/>
      <c r="U7" s="722"/>
    </row>
    <row r="8" spans="2:21">
      <c r="B8" s="702" t="str">
        <f>Orçamento!B5</f>
        <v>REFORMA HOSPITAL MATERNO INFANTIL</v>
      </c>
      <c r="C8" s="703"/>
      <c r="D8" s="703"/>
      <c r="E8" s="703"/>
      <c r="F8" s="703"/>
      <c r="G8" s="703"/>
      <c r="H8" s="703"/>
      <c r="I8" s="703"/>
      <c r="J8" s="703"/>
      <c r="K8" s="703"/>
      <c r="L8" s="703"/>
      <c r="M8" s="703"/>
      <c r="N8" s="703"/>
      <c r="O8" s="703"/>
      <c r="P8" s="703"/>
      <c r="Q8" s="703"/>
      <c r="R8" s="703"/>
      <c r="S8" s="703"/>
      <c r="T8" s="703"/>
      <c r="U8" s="704"/>
    </row>
    <row r="9" spans="2:21" ht="17.100000000000001" customHeight="1" thickBot="1">
      <c r="B9" s="705"/>
      <c r="C9" s="706"/>
      <c r="D9" s="706"/>
      <c r="E9" s="706"/>
      <c r="F9" s="706"/>
      <c r="G9" s="706"/>
      <c r="H9" s="706"/>
      <c r="I9" s="706"/>
      <c r="J9" s="706"/>
      <c r="K9" s="706"/>
      <c r="L9" s="706"/>
      <c r="M9" s="706"/>
      <c r="N9" s="706"/>
      <c r="O9" s="706"/>
      <c r="P9" s="706"/>
      <c r="Q9" s="706"/>
      <c r="R9" s="706"/>
      <c r="S9" s="706"/>
      <c r="T9" s="706"/>
      <c r="U9" s="707"/>
    </row>
    <row r="10" spans="2:21" ht="15" customHeight="1" thickBot="1">
      <c r="B10" s="708" t="s">
        <v>2</v>
      </c>
      <c r="C10" s="710" t="s">
        <v>17</v>
      </c>
      <c r="D10" s="718" t="s">
        <v>18</v>
      </c>
      <c r="E10" s="719"/>
      <c r="F10" s="719"/>
      <c r="G10" s="720"/>
      <c r="H10" s="718" t="s">
        <v>135</v>
      </c>
      <c r="I10" s="719"/>
      <c r="J10" s="719"/>
      <c r="K10" s="720"/>
      <c r="L10" s="718" t="s">
        <v>136</v>
      </c>
      <c r="M10" s="719"/>
      <c r="N10" s="719"/>
      <c r="O10" s="720"/>
      <c r="P10" s="718" t="s">
        <v>349</v>
      </c>
      <c r="Q10" s="719"/>
      <c r="R10" s="719"/>
      <c r="S10" s="720"/>
      <c r="T10" s="728" t="s">
        <v>19</v>
      </c>
      <c r="U10" s="730" t="s">
        <v>20</v>
      </c>
    </row>
    <row r="11" spans="2:21" ht="15.75" thickBot="1">
      <c r="B11" s="709"/>
      <c r="C11" s="711"/>
      <c r="D11" s="166" t="s">
        <v>53</v>
      </c>
      <c r="E11" s="167" t="s">
        <v>54</v>
      </c>
      <c r="F11" s="167" t="s">
        <v>55</v>
      </c>
      <c r="G11" s="168" t="s">
        <v>56</v>
      </c>
      <c r="H11" s="166" t="s">
        <v>53</v>
      </c>
      <c r="I11" s="167" t="s">
        <v>54</v>
      </c>
      <c r="J11" s="167" t="s">
        <v>55</v>
      </c>
      <c r="K11" s="168" t="s">
        <v>56</v>
      </c>
      <c r="L11" s="166" t="s">
        <v>53</v>
      </c>
      <c r="M11" s="167" t="s">
        <v>54</v>
      </c>
      <c r="N11" s="167" t="s">
        <v>55</v>
      </c>
      <c r="O11" s="169" t="s">
        <v>56</v>
      </c>
      <c r="P11" s="166" t="s">
        <v>53</v>
      </c>
      <c r="Q11" s="167" t="s">
        <v>54</v>
      </c>
      <c r="R11" s="167" t="s">
        <v>55</v>
      </c>
      <c r="S11" s="169" t="s">
        <v>56</v>
      </c>
      <c r="T11" s="729"/>
      <c r="U11" s="731"/>
    </row>
    <row r="12" spans="2:21">
      <c r="B12" s="48">
        <v>1</v>
      </c>
      <c r="C12" s="112" t="str">
        <f>Orçamento!B11</f>
        <v>SERVIÇOS PRELIMINARES</v>
      </c>
      <c r="D12" s="160">
        <v>0.16666666666666669</v>
      </c>
      <c r="E12" s="161">
        <v>0.16666666666666669</v>
      </c>
      <c r="F12" s="161">
        <v>0.16666666666666669</v>
      </c>
      <c r="G12" s="189">
        <v>0.16666666666666669</v>
      </c>
      <c r="H12" s="160">
        <v>0.16666666666666669</v>
      </c>
      <c r="I12" s="161">
        <v>0.16666666666666669</v>
      </c>
      <c r="J12" s="190"/>
      <c r="K12" s="162"/>
      <c r="L12" s="163"/>
      <c r="M12" s="164"/>
      <c r="N12" s="164"/>
      <c r="O12" s="165"/>
      <c r="P12" s="163"/>
      <c r="Q12" s="164"/>
      <c r="R12" s="164"/>
      <c r="S12" s="165"/>
      <c r="T12" s="109">
        <f>Orçamento!K29</f>
        <v>0</v>
      </c>
      <c r="U12" s="153" t="e">
        <f>(T12/$T$23)</f>
        <v>#DIV/0!</v>
      </c>
    </row>
    <row r="13" spans="2:21">
      <c r="B13" s="3">
        <v>2</v>
      </c>
      <c r="C13" s="105" t="str">
        <f>Orçamento!B30</f>
        <v>TRANSPORTES</v>
      </c>
      <c r="D13" s="192"/>
      <c r="E13" s="107">
        <v>0.2</v>
      </c>
      <c r="F13" s="107">
        <v>0.2</v>
      </c>
      <c r="G13" s="147">
        <v>0.2</v>
      </c>
      <c r="H13" s="106">
        <v>0.2</v>
      </c>
      <c r="I13" s="107">
        <v>0.2</v>
      </c>
      <c r="J13" s="193"/>
      <c r="K13" s="191"/>
      <c r="L13" s="192"/>
      <c r="M13" s="143"/>
      <c r="N13" s="143"/>
      <c r="O13" s="151"/>
      <c r="P13" s="192"/>
      <c r="Q13" s="143"/>
      <c r="R13" s="143"/>
      <c r="S13" s="151"/>
      <c r="T13" s="109">
        <f>Orçamento!K32</f>
        <v>0</v>
      </c>
      <c r="U13" s="153" t="e">
        <f>(T13/$T$23)</f>
        <v>#DIV/0!</v>
      </c>
    </row>
    <row r="14" spans="2:21">
      <c r="B14" s="3">
        <v>3</v>
      </c>
      <c r="C14" s="105" t="str">
        <f>Orçamento!B33</f>
        <v>SERVIÇO EM TERRA / FUNDAÇÃO</v>
      </c>
      <c r="D14" s="144"/>
      <c r="E14" s="193"/>
      <c r="F14" s="107">
        <v>0.16666666666666669</v>
      </c>
      <c r="G14" s="147">
        <v>0.16666666666666669</v>
      </c>
      <c r="H14" s="106">
        <v>0.16666666666666669</v>
      </c>
      <c r="I14" s="107">
        <v>0.16666666666666669</v>
      </c>
      <c r="J14" s="107">
        <v>0.16666666666666669</v>
      </c>
      <c r="K14" s="147">
        <v>0.16666666666666669</v>
      </c>
      <c r="L14" s="192"/>
      <c r="M14" s="143"/>
      <c r="N14" s="143"/>
      <c r="O14" s="151"/>
      <c r="P14" s="192"/>
      <c r="Q14" s="143"/>
      <c r="R14" s="143"/>
      <c r="S14" s="151"/>
      <c r="T14" s="109">
        <f>Orçamento!K44</f>
        <v>0</v>
      </c>
      <c r="U14" s="153" t="e">
        <f>(T14/$T$23)</f>
        <v>#DIV/0!</v>
      </c>
    </row>
    <row r="15" spans="2:21">
      <c r="B15" s="3">
        <v>4</v>
      </c>
      <c r="C15" s="105" t="str">
        <f>Orçamento!B45</f>
        <v>INSTALAÇÃO ELÉTRICA</v>
      </c>
      <c r="D15" s="144"/>
      <c r="E15" s="143"/>
      <c r="F15" s="193"/>
      <c r="G15" s="147">
        <v>0.16666666666666669</v>
      </c>
      <c r="H15" s="106">
        <v>0.16666666666666669</v>
      </c>
      <c r="I15" s="107">
        <v>0.16666666666666669</v>
      </c>
      <c r="J15" s="107">
        <v>0.16666666666666669</v>
      </c>
      <c r="K15" s="147">
        <v>0.16666666666666669</v>
      </c>
      <c r="L15" s="106">
        <v>0.16666666666666669</v>
      </c>
      <c r="M15" s="193"/>
      <c r="N15" s="143"/>
      <c r="O15" s="151"/>
      <c r="P15" s="192"/>
      <c r="Q15" s="193"/>
      <c r="R15" s="143"/>
      <c r="S15" s="151"/>
      <c r="T15" s="109">
        <f>Orçamento!K66</f>
        <v>0</v>
      </c>
      <c r="U15" s="153" t="e">
        <f>(T15/$T$23)</f>
        <v>#DIV/0!</v>
      </c>
    </row>
    <row r="16" spans="2:21">
      <c r="B16" s="48">
        <v>5</v>
      </c>
      <c r="C16" s="142" t="str">
        <f>Orçamento!B67</f>
        <v>INSTALAÇÃO HIDRO-SANITÁRIA / ESGOTO</v>
      </c>
      <c r="D16" s="144"/>
      <c r="E16" s="143"/>
      <c r="F16" s="193"/>
      <c r="G16" s="147">
        <v>0.16666666666666669</v>
      </c>
      <c r="H16" s="106">
        <v>0.16666666666666669</v>
      </c>
      <c r="I16" s="107">
        <v>0.16666666666666669</v>
      </c>
      <c r="J16" s="107">
        <v>0.16666666666666669</v>
      </c>
      <c r="K16" s="147">
        <v>0.16666666666666669</v>
      </c>
      <c r="L16" s="106">
        <v>0.16666666666666669</v>
      </c>
      <c r="M16" s="193"/>
      <c r="N16" s="143"/>
      <c r="O16" s="151"/>
      <c r="P16" s="192"/>
      <c r="Q16" s="193"/>
      <c r="R16" s="143"/>
      <c r="S16" s="151"/>
      <c r="T16" s="109">
        <f>Orçamento!K108</f>
        <v>0</v>
      </c>
      <c r="U16" s="153" t="e">
        <f t="shared" ref="U16:U22" si="0">(T16/$T$23)</f>
        <v>#DIV/0!</v>
      </c>
    </row>
    <row r="17" spans="2:21">
      <c r="B17" s="3">
        <v>6</v>
      </c>
      <c r="C17" s="142" t="str">
        <f>Orçamento!B109</f>
        <v>ALVENARIAS / IMPERMEABILIZAÇÃO</v>
      </c>
      <c r="D17" s="144"/>
      <c r="E17" s="143"/>
      <c r="F17" s="143"/>
      <c r="G17" s="191"/>
      <c r="H17" s="106">
        <v>0.16666666666666669</v>
      </c>
      <c r="I17" s="107">
        <v>0.16666666666666669</v>
      </c>
      <c r="J17" s="107">
        <v>0.16666666666666669</v>
      </c>
      <c r="K17" s="147">
        <v>0.16666666666666669</v>
      </c>
      <c r="L17" s="106">
        <v>0.16666666666666669</v>
      </c>
      <c r="M17" s="107">
        <v>0.16666666666666669</v>
      </c>
      <c r="N17" s="193"/>
      <c r="O17" s="151"/>
      <c r="P17" s="192"/>
      <c r="Q17" s="193"/>
      <c r="R17" s="193"/>
      <c r="S17" s="151"/>
      <c r="T17" s="109">
        <f>Orçamento!K114</f>
        <v>0</v>
      </c>
      <c r="U17" s="153" t="e">
        <f t="shared" si="0"/>
        <v>#DIV/0!</v>
      </c>
    </row>
    <row r="18" spans="2:21">
      <c r="B18" s="3">
        <v>7</v>
      </c>
      <c r="C18" s="142" t="str">
        <f>Orçamento!B115</f>
        <v>COBERTURA</v>
      </c>
      <c r="D18" s="144"/>
      <c r="E18" s="143"/>
      <c r="F18" s="143"/>
      <c r="G18" s="191"/>
      <c r="H18" s="192"/>
      <c r="I18" s="107">
        <v>0.1</v>
      </c>
      <c r="J18" s="107">
        <v>0.1</v>
      </c>
      <c r="K18" s="147">
        <v>0.1</v>
      </c>
      <c r="L18" s="106">
        <v>0.1</v>
      </c>
      <c r="M18" s="107">
        <v>0.1</v>
      </c>
      <c r="N18" s="107">
        <v>0.1</v>
      </c>
      <c r="O18" s="108">
        <v>0.1</v>
      </c>
      <c r="P18" s="106">
        <v>0.1</v>
      </c>
      <c r="Q18" s="107">
        <v>0.1</v>
      </c>
      <c r="R18" s="107">
        <v>0.1</v>
      </c>
      <c r="S18" s="151"/>
      <c r="T18" s="109">
        <f>Orçamento!K122</f>
        <v>0</v>
      </c>
      <c r="U18" s="153" t="e">
        <f t="shared" si="0"/>
        <v>#DIV/0!</v>
      </c>
    </row>
    <row r="19" spans="2:21">
      <c r="B19" s="3">
        <v>8</v>
      </c>
      <c r="C19" s="142" t="str">
        <f>Orçamento!B123</f>
        <v>ESQUADRIAS / VIDROS</v>
      </c>
      <c r="D19" s="144"/>
      <c r="E19" s="143"/>
      <c r="F19" s="143"/>
      <c r="G19" s="150"/>
      <c r="H19" s="144"/>
      <c r="I19" s="143"/>
      <c r="J19" s="193"/>
      <c r="K19" s="191"/>
      <c r="L19" s="106">
        <v>0.16666666666666669</v>
      </c>
      <c r="M19" s="107">
        <v>0.16666666666666669</v>
      </c>
      <c r="N19" s="107">
        <v>0.16666666666666669</v>
      </c>
      <c r="O19" s="108">
        <v>0.16666666666666669</v>
      </c>
      <c r="P19" s="106">
        <v>0.16666666666666669</v>
      </c>
      <c r="Q19" s="107">
        <v>0.16666666666666669</v>
      </c>
      <c r="R19" s="193"/>
      <c r="S19" s="151"/>
      <c r="T19" s="109">
        <f>Orçamento!K134</f>
        <v>0</v>
      </c>
      <c r="U19" s="153" t="e">
        <f t="shared" si="0"/>
        <v>#DIV/0!</v>
      </c>
    </row>
    <row r="20" spans="2:21">
      <c r="B20" s="48">
        <v>9</v>
      </c>
      <c r="C20" s="142" t="str">
        <f>Orçamento!B135</f>
        <v>REVESTIMENTO PAREDE / PISO / TETO</v>
      </c>
      <c r="D20" s="144"/>
      <c r="E20" s="143"/>
      <c r="F20" s="143"/>
      <c r="G20" s="150"/>
      <c r="H20" s="144"/>
      <c r="I20" s="143"/>
      <c r="J20" s="143"/>
      <c r="K20" s="150"/>
      <c r="L20" s="106">
        <v>0.125</v>
      </c>
      <c r="M20" s="107">
        <v>0.125</v>
      </c>
      <c r="N20" s="107">
        <v>0.125</v>
      </c>
      <c r="O20" s="108">
        <v>0.125</v>
      </c>
      <c r="P20" s="106">
        <v>0.125</v>
      </c>
      <c r="Q20" s="107">
        <v>0.125</v>
      </c>
      <c r="R20" s="107">
        <v>0.125</v>
      </c>
      <c r="S20" s="108">
        <v>0.125</v>
      </c>
      <c r="T20" s="109">
        <f>Orçamento!K148</f>
        <v>0</v>
      </c>
      <c r="U20" s="153" t="e">
        <f t="shared" si="0"/>
        <v>#DIV/0!</v>
      </c>
    </row>
    <row r="21" spans="2:21">
      <c r="B21" s="3">
        <v>10</v>
      </c>
      <c r="C21" s="142" t="str">
        <f>Orçamento!B149</f>
        <v>ADMINISTRAÇÃO - MENSALISTAS</v>
      </c>
      <c r="D21" s="106">
        <v>6.25E-2</v>
      </c>
      <c r="E21" s="107">
        <v>6.25E-2</v>
      </c>
      <c r="F21" s="107">
        <v>6.25E-2</v>
      </c>
      <c r="G21" s="147">
        <v>6.25E-2</v>
      </c>
      <c r="H21" s="106">
        <v>6.25E-2</v>
      </c>
      <c r="I21" s="107">
        <v>6.25E-2</v>
      </c>
      <c r="J21" s="107">
        <v>6.25E-2</v>
      </c>
      <c r="K21" s="147">
        <v>6.25E-2</v>
      </c>
      <c r="L21" s="106">
        <v>6.25E-2</v>
      </c>
      <c r="M21" s="107">
        <v>6.25E-2</v>
      </c>
      <c r="N21" s="107">
        <v>6.25E-2</v>
      </c>
      <c r="O21" s="108">
        <v>6.25E-2</v>
      </c>
      <c r="P21" s="106">
        <v>6.25E-2</v>
      </c>
      <c r="Q21" s="107">
        <v>6.25E-2</v>
      </c>
      <c r="R21" s="107">
        <v>6.25E-2</v>
      </c>
      <c r="S21" s="108">
        <v>6.25E-2</v>
      </c>
      <c r="T21" s="109">
        <f>Orçamento!K154</f>
        <v>0</v>
      </c>
      <c r="U21" s="153" t="e">
        <f t="shared" si="0"/>
        <v>#DIV/0!</v>
      </c>
    </row>
    <row r="22" spans="2:21" ht="15.75" thickBot="1">
      <c r="B22" s="145">
        <v>11</v>
      </c>
      <c r="C22" s="146" t="str">
        <f>Orçamento!B155</f>
        <v>PINTURA / DIVERSOS</v>
      </c>
      <c r="D22" s="121"/>
      <c r="E22" s="155"/>
      <c r="F22" s="155"/>
      <c r="G22" s="156"/>
      <c r="H22" s="121"/>
      <c r="I22" s="155"/>
      <c r="J22" s="155"/>
      <c r="K22" s="156"/>
      <c r="L22" s="255">
        <v>0.125</v>
      </c>
      <c r="M22" s="148">
        <v>0.125</v>
      </c>
      <c r="N22" s="148">
        <v>0.125</v>
      </c>
      <c r="O22" s="149">
        <v>0.125</v>
      </c>
      <c r="P22" s="255">
        <v>0.125</v>
      </c>
      <c r="Q22" s="148">
        <v>0.125</v>
      </c>
      <c r="R22" s="148">
        <v>0.125</v>
      </c>
      <c r="S22" s="149">
        <v>0.125</v>
      </c>
      <c r="T22" s="122">
        <f>Orçamento!K169</f>
        <v>0</v>
      </c>
      <c r="U22" s="153" t="e">
        <f t="shared" si="0"/>
        <v>#DIV/0!</v>
      </c>
    </row>
    <row r="23" spans="2:21" ht="18.75" thickBot="1">
      <c r="B23" s="698" t="s">
        <v>6</v>
      </c>
      <c r="C23" s="699"/>
      <c r="D23" s="126">
        <f t="shared" ref="D23:K23" si="1">D12*$T$12+D13*$T$13+D14*$T$14+D15*$T$15+D16*$T$16+D17*$T$17+D18*$T$18+D19*$T$19+D20*$T$20+D21*$T$21+D22*$T$22</f>
        <v>0</v>
      </c>
      <c r="E23" s="126">
        <f t="shared" si="1"/>
        <v>0</v>
      </c>
      <c r="F23" s="126">
        <f t="shared" si="1"/>
        <v>0</v>
      </c>
      <c r="G23" s="126">
        <f t="shared" si="1"/>
        <v>0</v>
      </c>
      <c r="H23" s="126">
        <f t="shared" si="1"/>
        <v>0</v>
      </c>
      <c r="I23" s="126">
        <f t="shared" si="1"/>
        <v>0</v>
      </c>
      <c r="J23" s="126">
        <f t="shared" si="1"/>
        <v>0</v>
      </c>
      <c r="K23" s="126">
        <f t="shared" si="1"/>
        <v>0</v>
      </c>
      <c r="L23" s="126">
        <f t="shared" ref="L23:S23" si="2">L12*$T$12+L13*$T$13+L14*$T$14+L15*$T$15+L16*$T$16+L17*$T$17+L18*$T$18+L19*$T$19+L20*$T$20+L21*$T$21+L22*$T$22</f>
        <v>0</v>
      </c>
      <c r="M23" s="126">
        <f t="shared" si="2"/>
        <v>0</v>
      </c>
      <c r="N23" s="126">
        <f t="shared" si="2"/>
        <v>0</v>
      </c>
      <c r="O23" s="126">
        <f t="shared" si="2"/>
        <v>0</v>
      </c>
      <c r="P23" s="126">
        <f t="shared" si="2"/>
        <v>0</v>
      </c>
      <c r="Q23" s="126">
        <f t="shared" si="2"/>
        <v>0</v>
      </c>
      <c r="R23" s="126">
        <f t="shared" si="2"/>
        <v>0</v>
      </c>
      <c r="S23" s="126">
        <f t="shared" si="2"/>
        <v>0</v>
      </c>
      <c r="T23" s="152">
        <f>SUM(T12:T22)</f>
        <v>0</v>
      </c>
      <c r="U23" s="154" t="e">
        <f>(T23/$T$23)</f>
        <v>#DIV/0!</v>
      </c>
    </row>
    <row r="24" spans="2:21" s="113" customFormat="1" ht="14.25">
      <c r="B24" s="696" t="s">
        <v>21</v>
      </c>
      <c r="C24" s="697"/>
      <c r="D24" s="123" t="e">
        <f t="shared" ref="D24:O24" si="3">D23/$T$23</f>
        <v>#DIV/0!</v>
      </c>
      <c r="E24" s="124" t="e">
        <f t="shared" si="3"/>
        <v>#DIV/0!</v>
      </c>
      <c r="F24" s="124" t="e">
        <f t="shared" si="3"/>
        <v>#DIV/0!</v>
      </c>
      <c r="G24" s="125" t="e">
        <f t="shared" si="3"/>
        <v>#DIV/0!</v>
      </c>
      <c r="H24" s="123" t="e">
        <f t="shared" si="3"/>
        <v>#DIV/0!</v>
      </c>
      <c r="I24" s="124" t="e">
        <f t="shared" si="3"/>
        <v>#DIV/0!</v>
      </c>
      <c r="J24" s="124" t="e">
        <f t="shared" si="3"/>
        <v>#DIV/0!</v>
      </c>
      <c r="K24" s="125" t="e">
        <f t="shared" si="3"/>
        <v>#DIV/0!</v>
      </c>
      <c r="L24" s="157" t="e">
        <f t="shared" si="3"/>
        <v>#DIV/0!</v>
      </c>
      <c r="M24" s="158" t="e">
        <f t="shared" si="3"/>
        <v>#DIV/0!</v>
      </c>
      <c r="N24" s="158" t="e">
        <f t="shared" si="3"/>
        <v>#DIV/0!</v>
      </c>
      <c r="O24" s="159" t="e">
        <f t="shared" si="3"/>
        <v>#DIV/0!</v>
      </c>
      <c r="P24" s="157" t="e">
        <f>P23/$T$23</f>
        <v>#DIV/0!</v>
      </c>
      <c r="Q24" s="158" t="e">
        <f>Q23/$T$23</f>
        <v>#DIV/0!</v>
      </c>
      <c r="R24" s="158" t="e">
        <f>R23/$T$23</f>
        <v>#DIV/0!</v>
      </c>
      <c r="S24" s="159" t="e">
        <f>S23/$T$23</f>
        <v>#DIV/0!</v>
      </c>
      <c r="T24" s="700"/>
      <c r="U24" s="701"/>
    </row>
    <row r="25" spans="2:21" ht="17.100000000000001" customHeight="1" thickBot="1">
      <c r="B25" s="726" t="s">
        <v>57</v>
      </c>
      <c r="C25" s="727"/>
      <c r="D25" s="114">
        <f>D12*$T$12+D13*$T$13+D14*$T$14+D15*$T$15+D16*$T$16+D17*$T$17+D18*$T$18+D19*$T$19+D20*$T$20+D21*$T$21+D22*$T$22</f>
        <v>0</v>
      </c>
      <c r="E25" s="116">
        <f t="shared" ref="E25:O25" si="4">E12*$T$12+E13*$T$13+E14*$T$14+E15*$T$15+E16*$T$16+E17*$T$17+E18*$T$18+E19*$T$19+E20*$T$20+E21*$T$21+E22*$T$22+D25</f>
        <v>0</v>
      </c>
      <c r="F25" s="116">
        <f t="shared" si="4"/>
        <v>0</v>
      </c>
      <c r="G25" s="115">
        <f t="shared" si="4"/>
        <v>0</v>
      </c>
      <c r="H25" s="114">
        <f t="shared" si="4"/>
        <v>0</v>
      </c>
      <c r="I25" s="116">
        <f t="shared" si="4"/>
        <v>0</v>
      </c>
      <c r="J25" s="116">
        <f t="shared" si="4"/>
        <v>0</v>
      </c>
      <c r="K25" s="115">
        <f t="shared" si="4"/>
        <v>0</v>
      </c>
      <c r="L25" s="114">
        <f t="shared" si="4"/>
        <v>0</v>
      </c>
      <c r="M25" s="116">
        <f t="shared" si="4"/>
        <v>0</v>
      </c>
      <c r="N25" s="116">
        <f t="shared" si="4"/>
        <v>0</v>
      </c>
      <c r="O25" s="115">
        <f t="shared" si="4"/>
        <v>0</v>
      </c>
      <c r="P25" s="114">
        <f>P12*$T$12+P13*$T$13+P14*$T$14+P15*$T$15+P16*$T$16+P17*$T$17+P18*$T$18+P19*$T$19+P20*$T$20+P21*$T$21+P22*$T$22+O25</f>
        <v>0</v>
      </c>
      <c r="Q25" s="116">
        <f>Q12*$T$12+Q13*$T$13+Q14*$T$14+Q15*$T$15+Q16*$T$16+Q17*$T$17+Q18*$T$18+Q19*$T$19+Q20*$T$20+Q21*$T$21+Q22*$T$22+P25</f>
        <v>0</v>
      </c>
      <c r="R25" s="116">
        <f>R12*$T$12+R13*$T$13+R14*$T$14+R15*$T$15+R16*$T$16+R17*$T$17+R18*$T$18+R19*$T$19+R20*$T$20+R21*$T$21+R22*$T$22+Q25</f>
        <v>0</v>
      </c>
      <c r="S25" s="115">
        <f>S12*$T$12+S13*$T$13+S14*$T$14+S15*$T$15+S16*$T$16+S17*$T$17+S18*$T$18+S19*$T$19+S20*$T$20+S21*$T$21+S22*$T$22+R25</f>
        <v>0</v>
      </c>
      <c r="T25" s="110"/>
      <c r="U25" s="111"/>
    </row>
    <row r="26" spans="2:21">
      <c r="B26" s="38"/>
      <c r="C26" s="39"/>
      <c r="D26" s="39"/>
      <c r="E26" s="39"/>
      <c r="F26" s="39"/>
      <c r="G26" s="724"/>
      <c r="H26" s="187"/>
      <c r="I26" s="187"/>
      <c r="J26" s="187"/>
      <c r="K26" s="187"/>
      <c r="L26" s="39"/>
      <c r="M26" s="39"/>
      <c r="N26" s="39"/>
      <c r="O26" s="724"/>
      <c r="P26" s="39"/>
      <c r="Q26" s="39"/>
      <c r="R26" s="39"/>
      <c r="S26" s="724"/>
      <c r="T26" s="40"/>
      <c r="U26" s="41"/>
    </row>
    <row r="27" spans="2:21" ht="44.1" customHeight="1">
      <c r="B27" s="42"/>
      <c r="C27" s="2"/>
      <c r="D27" s="2"/>
      <c r="E27" s="2"/>
      <c r="F27" s="2"/>
      <c r="G27" s="725"/>
      <c r="H27" s="188"/>
      <c r="I27" s="188"/>
      <c r="J27" s="188"/>
      <c r="K27" s="188"/>
      <c r="L27" s="2"/>
      <c r="M27" s="2"/>
      <c r="N27" s="2"/>
      <c r="O27" s="725"/>
      <c r="P27" s="2"/>
      <c r="Q27" s="2"/>
      <c r="R27" s="2"/>
      <c r="S27" s="725"/>
      <c r="T27" s="43"/>
      <c r="U27" s="44"/>
    </row>
    <row r="28" spans="2:21" ht="45" customHeight="1">
      <c r="B28" s="42"/>
      <c r="C28" s="512" t="s">
        <v>23</v>
      </c>
      <c r="D28" s="512"/>
      <c r="E28" s="89"/>
      <c r="F28" s="512" t="s">
        <v>23</v>
      </c>
      <c r="G28" s="512"/>
      <c r="H28" s="512"/>
      <c r="I28" s="512"/>
      <c r="J28" s="512"/>
      <c r="K28" s="512"/>
      <c r="L28" s="512"/>
      <c r="M28" s="512"/>
      <c r="N28" s="512"/>
      <c r="O28" s="512"/>
      <c r="P28" s="512"/>
      <c r="Q28" s="512"/>
      <c r="R28" s="512"/>
      <c r="S28" s="512"/>
      <c r="T28" s="512"/>
      <c r="U28" s="91"/>
    </row>
    <row r="29" spans="2:21" ht="15.75">
      <c r="B29" s="42"/>
      <c r="C29" s="542" t="s">
        <v>24</v>
      </c>
      <c r="D29" s="542"/>
      <c r="E29" s="87"/>
      <c r="F29" s="542" t="s">
        <v>26</v>
      </c>
      <c r="G29" s="542"/>
      <c r="H29" s="542"/>
      <c r="I29" s="542"/>
      <c r="J29" s="542"/>
      <c r="K29" s="542"/>
      <c r="L29" s="542"/>
      <c r="M29" s="542"/>
      <c r="N29" s="542"/>
      <c r="O29" s="542"/>
      <c r="P29" s="542"/>
      <c r="Q29" s="542"/>
      <c r="R29" s="542"/>
      <c r="S29" s="542"/>
      <c r="T29" s="542"/>
      <c r="U29" s="90"/>
    </row>
    <row r="30" spans="2:21" ht="15.75">
      <c r="B30" s="42"/>
      <c r="C30" s="542" t="s">
        <v>25</v>
      </c>
      <c r="D30" s="542"/>
      <c r="E30" s="87"/>
      <c r="F30" s="533" t="s">
        <v>27</v>
      </c>
      <c r="G30" s="533"/>
      <c r="H30" s="533"/>
      <c r="I30" s="533"/>
      <c r="J30" s="533"/>
      <c r="K30" s="533"/>
      <c r="L30" s="533"/>
      <c r="M30" s="533"/>
      <c r="N30" s="533"/>
      <c r="O30" s="533"/>
      <c r="P30" s="533"/>
      <c r="Q30" s="533"/>
      <c r="R30" s="533"/>
      <c r="S30" s="533"/>
      <c r="T30" s="533"/>
      <c r="U30" s="90"/>
    </row>
    <row r="31" spans="2:21" ht="16.5" thickBot="1">
      <c r="B31" s="45"/>
      <c r="C31" s="723"/>
      <c r="D31" s="723"/>
      <c r="E31" s="88"/>
      <c r="F31" s="88"/>
      <c r="G31" s="88"/>
      <c r="H31" s="186"/>
      <c r="I31" s="186"/>
      <c r="J31" s="186"/>
      <c r="K31" s="186"/>
      <c r="L31" s="133"/>
      <c r="M31" s="133"/>
      <c r="N31" s="133"/>
      <c r="O31" s="133"/>
      <c r="P31" s="262"/>
      <c r="Q31" s="262"/>
      <c r="R31" s="262"/>
      <c r="S31" s="262"/>
      <c r="T31" s="46"/>
      <c r="U31" s="47"/>
    </row>
    <row r="32" spans="2:21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</sheetData>
  <mergeCells count="29">
    <mergeCell ref="B25:C25"/>
    <mergeCell ref="T10:T11"/>
    <mergeCell ref="U10:U11"/>
    <mergeCell ref="D10:G10"/>
    <mergeCell ref="H10:K10"/>
    <mergeCell ref="C31:D31"/>
    <mergeCell ref="G26:G27"/>
    <mergeCell ref="C28:D28"/>
    <mergeCell ref="C29:D29"/>
    <mergeCell ref="F28:T28"/>
    <mergeCell ref="F29:T29"/>
    <mergeCell ref="F30:T30"/>
    <mergeCell ref="C30:D30"/>
    <mergeCell ref="O26:O27"/>
    <mergeCell ref="S26:S27"/>
    <mergeCell ref="B2:U2"/>
    <mergeCell ref="B24:C24"/>
    <mergeCell ref="B23:C23"/>
    <mergeCell ref="T24:U24"/>
    <mergeCell ref="B8:U9"/>
    <mergeCell ref="B10:B11"/>
    <mergeCell ref="C10:C11"/>
    <mergeCell ref="D3:U3"/>
    <mergeCell ref="D4:U4"/>
    <mergeCell ref="D5:U5"/>
    <mergeCell ref="D6:U6"/>
    <mergeCell ref="L10:O10"/>
    <mergeCell ref="P10:S10"/>
    <mergeCell ref="D7:U7"/>
  </mergeCells>
  <phoneticPr fontId="44" type="noConversion"/>
  <pageMargins left="0.31629921259842525" right="0.31629921259842525" top="0.75000000000000011" bottom="0.75000000000000011" header="0.31" footer="0.31"/>
  <pageSetup paperSize="9" scale="4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opLeftCell="B1" workbookViewId="0">
      <selection activeCell="G37" sqref="G37"/>
    </sheetView>
  </sheetViews>
  <sheetFormatPr defaultColWidth="11.42578125" defaultRowHeight="15.75"/>
  <cols>
    <col min="1" max="1" width="14.85546875" style="55" customWidth="1"/>
    <col min="2" max="2" width="9.140625" style="55" customWidth="1"/>
    <col min="3" max="3" width="15.28515625" style="55" customWidth="1"/>
    <col min="4" max="4" width="34.42578125" style="55" customWidth="1"/>
    <col min="5" max="5" width="31" style="55" customWidth="1"/>
    <col min="6" max="6" width="18" style="55" customWidth="1"/>
    <col min="7" max="7" width="12.42578125" style="55" customWidth="1"/>
    <col min="8" max="8" width="15.140625" style="55" customWidth="1"/>
    <col min="9" max="9" width="12.85546875" style="55" customWidth="1"/>
    <col min="10" max="10" width="20.28515625" style="55" customWidth="1"/>
    <col min="11" max="16384" width="11.42578125" style="55"/>
  </cols>
  <sheetData>
    <row r="1" spans="1:10" ht="16.5" thickBot="1">
      <c r="A1"/>
      <c r="B1"/>
      <c r="C1"/>
      <c r="D1"/>
      <c r="E1"/>
      <c r="F1"/>
      <c r="G1"/>
      <c r="H1"/>
      <c r="I1"/>
      <c r="J1"/>
    </row>
    <row r="2" spans="1:10" ht="20.25">
      <c r="A2"/>
      <c r="B2"/>
      <c r="C2"/>
      <c r="D2" s="78"/>
      <c r="E2" s="732" t="s">
        <v>7</v>
      </c>
      <c r="F2" s="733"/>
      <c r="G2"/>
      <c r="H2"/>
      <c r="I2"/>
      <c r="J2"/>
    </row>
    <row r="3" spans="1:10" ht="29.1" customHeight="1">
      <c r="A3"/>
      <c r="B3"/>
      <c r="C3"/>
      <c r="D3" s="70"/>
      <c r="E3" s="734" t="s">
        <v>32</v>
      </c>
      <c r="F3" s="735"/>
      <c r="G3"/>
      <c r="H3"/>
      <c r="I3"/>
      <c r="J3"/>
    </row>
    <row r="4" spans="1:10" ht="17.25" thickBot="1">
      <c r="A4"/>
      <c r="B4"/>
      <c r="C4"/>
      <c r="D4" s="70"/>
      <c r="E4" s="734" t="s">
        <v>22</v>
      </c>
      <c r="F4" s="735"/>
      <c r="G4"/>
      <c r="H4"/>
      <c r="I4"/>
      <c r="J4"/>
    </row>
    <row r="5" spans="1:10" ht="17.25" thickBot="1">
      <c r="A5"/>
      <c r="B5"/>
      <c r="C5"/>
      <c r="D5" s="56" t="s">
        <v>33</v>
      </c>
      <c r="E5" s="57" t="s">
        <v>9</v>
      </c>
      <c r="F5" s="58" t="s">
        <v>34</v>
      </c>
      <c r="G5"/>
      <c r="H5"/>
      <c r="I5"/>
      <c r="J5"/>
    </row>
    <row r="6" spans="1:10" ht="16.5">
      <c r="A6"/>
      <c r="B6"/>
      <c r="C6"/>
      <c r="D6" s="736"/>
      <c r="E6" s="737"/>
      <c r="F6" s="738"/>
      <c r="G6"/>
      <c r="H6"/>
      <c r="I6"/>
      <c r="J6"/>
    </row>
    <row r="7" spans="1:10" ht="16.5">
      <c r="A7"/>
      <c r="B7"/>
      <c r="C7"/>
      <c r="D7" s="59" t="s">
        <v>35</v>
      </c>
      <c r="E7" s="60" t="s">
        <v>36</v>
      </c>
      <c r="F7" s="61">
        <v>0.04</v>
      </c>
      <c r="G7"/>
      <c r="H7"/>
      <c r="I7"/>
      <c r="J7"/>
    </row>
    <row r="8" spans="1:10" ht="16.5">
      <c r="A8"/>
      <c r="B8"/>
      <c r="C8"/>
      <c r="D8" s="59" t="s">
        <v>37</v>
      </c>
      <c r="E8" s="60" t="s">
        <v>38</v>
      </c>
      <c r="F8" s="61">
        <v>7.1999999999999995E-2</v>
      </c>
      <c r="G8"/>
      <c r="H8"/>
      <c r="I8"/>
      <c r="J8"/>
    </row>
    <row r="9" spans="1:10" s="62" customFormat="1" ht="16.5">
      <c r="A9"/>
      <c r="B9"/>
      <c r="C9"/>
      <c r="D9" s="59" t="s">
        <v>39</v>
      </c>
      <c r="E9" s="60" t="s">
        <v>40</v>
      </c>
      <c r="F9" s="61">
        <v>5.5999999999999999E-3</v>
      </c>
      <c r="G9"/>
      <c r="H9"/>
      <c r="I9"/>
      <c r="J9"/>
    </row>
    <row r="10" spans="1:10" ht="16.5">
      <c r="A10"/>
      <c r="B10"/>
      <c r="C10"/>
      <c r="D10" s="59" t="s">
        <v>41</v>
      </c>
      <c r="E10" s="60" t="s">
        <v>42</v>
      </c>
      <c r="F10" s="61">
        <v>1.1999999999999999E-3</v>
      </c>
      <c r="G10"/>
      <c r="H10"/>
      <c r="I10"/>
      <c r="J10"/>
    </row>
    <row r="11" spans="1:10" ht="16.5">
      <c r="D11" s="59" t="s">
        <v>43</v>
      </c>
      <c r="E11" s="60" t="s">
        <v>44</v>
      </c>
      <c r="F11" s="61">
        <v>9.7000000000000003E-3</v>
      </c>
    </row>
    <row r="12" spans="1:10" ht="16.5">
      <c r="D12" s="741"/>
      <c r="E12" s="742"/>
      <c r="F12" s="743"/>
    </row>
    <row r="13" spans="1:10" ht="16.5">
      <c r="D13" s="59" t="s">
        <v>45</v>
      </c>
      <c r="E13" s="63" t="s">
        <v>46</v>
      </c>
      <c r="F13" s="64">
        <f>(F14*0.6)+F15+F16+F17</f>
        <v>0.1055</v>
      </c>
    </row>
    <row r="14" spans="1:10" ht="16.5">
      <c r="D14" s="65" t="s">
        <v>530</v>
      </c>
      <c r="E14" s="60"/>
      <c r="F14" s="61">
        <v>0.04</v>
      </c>
    </row>
    <row r="15" spans="1:10" ht="16.5">
      <c r="D15" s="65" t="s">
        <v>47</v>
      </c>
      <c r="E15" s="60"/>
      <c r="F15" s="61">
        <v>6.4999999999999997E-3</v>
      </c>
    </row>
    <row r="16" spans="1:10" ht="16.5">
      <c r="D16" s="65" t="s">
        <v>48</v>
      </c>
      <c r="E16" s="60"/>
      <c r="F16" s="61">
        <v>0.03</v>
      </c>
    </row>
    <row r="17" spans="4:6" ht="17.25" thickBot="1">
      <c r="D17" s="66" t="s">
        <v>49</v>
      </c>
      <c r="E17" s="67"/>
      <c r="F17" s="68">
        <v>4.4999999999999998E-2</v>
      </c>
    </row>
    <row r="18" spans="4:6" ht="18.75" thickBot="1">
      <c r="D18" s="69" t="s">
        <v>50</v>
      </c>
      <c r="E18" s="744">
        <f>(((1+F7+F10+F11))*((1+F9)*((1+F8))/(1-F13))-1)</f>
        <v>0.26648805240916773</v>
      </c>
      <c r="F18" s="745"/>
    </row>
    <row r="19" spans="4:6" ht="16.5">
      <c r="D19" s="70"/>
      <c r="E19" s="71"/>
      <c r="F19" s="72"/>
    </row>
    <row r="20" spans="4:6" ht="16.5">
      <c r="D20" s="70"/>
      <c r="E20" s="71"/>
      <c r="F20" s="72"/>
    </row>
    <row r="21" spans="4:6" ht="16.5">
      <c r="D21" s="70"/>
      <c r="E21" s="71"/>
      <c r="F21" s="72"/>
    </row>
    <row r="22" spans="4:6" ht="16.5">
      <c r="D22" s="70"/>
      <c r="E22" s="71"/>
      <c r="F22" s="72"/>
    </row>
    <row r="23" spans="4:6" ht="16.5">
      <c r="D23" s="70"/>
      <c r="E23" s="71"/>
      <c r="F23" s="72"/>
    </row>
    <row r="24" spans="4:6" ht="16.5">
      <c r="D24" s="70"/>
      <c r="E24" s="71"/>
      <c r="F24" s="72"/>
    </row>
    <row r="25" spans="4:6" ht="17.25" thickBot="1">
      <c r="D25" s="70"/>
      <c r="E25" s="71"/>
      <c r="F25" s="72"/>
    </row>
    <row r="26" spans="4:6">
      <c r="D26" s="746" t="s">
        <v>51</v>
      </c>
      <c r="E26" s="748" t="s">
        <v>52</v>
      </c>
      <c r="F26" s="749"/>
    </row>
    <row r="27" spans="4:6">
      <c r="D27" s="747"/>
      <c r="E27" s="750"/>
      <c r="F27" s="751"/>
    </row>
    <row r="28" spans="4:6">
      <c r="D28" s="747"/>
      <c r="E28" s="750"/>
      <c r="F28" s="751"/>
    </row>
    <row r="29" spans="4:6">
      <c r="D29" s="747"/>
      <c r="E29" s="750"/>
      <c r="F29" s="751"/>
    </row>
    <row r="30" spans="4:6">
      <c r="D30" s="747"/>
      <c r="E30" s="750"/>
      <c r="F30" s="751"/>
    </row>
    <row r="31" spans="4:6">
      <c r="D31" s="73" t="s">
        <v>24</v>
      </c>
      <c r="E31" s="752" t="s">
        <v>26</v>
      </c>
      <c r="F31" s="753"/>
    </row>
    <row r="32" spans="4:6">
      <c r="D32" s="74" t="s">
        <v>25</v>
      </c>
      <c r="E32" s="739" t="s">
        <v>27</v>
      </c>
      <c r="F32" s="740"/>
    </row>
    <row r="33" spans="4:6" ht="17.25" thickBot="1">
      <c r="D33" s="75"/>
      <c r="E33" s="76"/>
      <c r="F33" s="77"/>
    </row>
  </sheetData>
  <mergeCells count="10">
    <mergeCell ref="E2:F2"/>
    <mergeCell ref="E3:F3"/>
    <mergeCell ref="E4:F4"/>
    <mergeCell ref="D6:F6"/>
    <mergeCell ref="E32:F32"/>
    <mergeCell ref="D12:F12"/>
    <mergeCell ref="E18:F18"/>
    <mergeCell ref="D26:D30"/>
    <mergeCell ref="E26:F30"/>
    <mergeCell ref="E31:F31"/>
  </mergeCells>
  <phoneticPr fontId="44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6</vt:i4>
      </vt:variant>
    </vt:vector>
  </HeadingPairs>
  <TitlesOfParts>
    <vt:vector size="10" baseType="lpstr">
      <vt:lpstr>Orçamento</vt:lpstr>
      <vt:lpstr>Memória de cálculo</vt:lpstr>
      <vt:lpstr>Cronograma</vt:lpstr>
      <vt:lpstr>BDI</vt:lpstr>
      <vt:lpstr>BDI!Area_de_impressao</vt:lpstr>
      <vt:lpstr>Cronograma!Area_de_impressao</vt:lpstr>
      <vt:lpstr>'Memória de cálculo'!Area_de_impressao</vt:lpstr>
      <vt:lpstr>Orçamento!Area_de_impressao</vt:lpstr>
      <vt:lpstr>'Memória de cálculo'!Titulos_de_impressao</vt:lpstr>
      <vt:lpstr>Orçamento!Titulos_de_impressao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2019-03-22T11:57:54Z</cp:lastPrinted>
  <dcterms:created xsi:type="dcterms:W3CDTF">2006-09-16T00:00:00Z</dcterms:created>
  <dcterms:modified xsi:type="dcterms:W3CDTF">2019-05-13T11:10:59Z</dcterms:modified>
</cp:coreProperties>
</file>